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filterPrivacy="1" defaultThemeVersion="166925"/>
  <xr:revisionPtr revIDLastSave="0" documentId="13_ncr:1_{8BF7AEEA-B8A4-403F-BB93-92F479F4C492}" xr6:coauthVersionLast="45" xr6:coauthVersionMax="45" xr10:uidLastSave="{00000000-0000-0000-0000-000000000000}"/>
  <bookViews>
    <workbookView xWindow="-98" yWindow="-98" windowWidth="22695" windowHeight="14595" tabRatio="845" xr2:uid="{00000000-000D-0000-FFFF-FFFF00000000}"/>
  </bookViews>
  <sheets>
    <sheet name="Cover" sheetId="70" r:id="rId1"/>
    <sheet name="Change log" sheetId="71" r:id="rId2"/>
    <sheet name="Index" sheetId="69" r:id="rId3"/>
    <sheet name="Main inputs&gt;&gt;" sheetId="32" r:id="rId4"/>
    <sheet name="Inflation" sheetId="1" r:id="rId5"/>
    <sheet name="RAB inputs" sheetId="36" r:id="rId6"/>
    <sheet name="WACC parameters" sheetId="54" r:id="rId7"/>
    <sheet name="FD allowances" sheetId="13" r:id="rId8"/>
    <sheet name="FD forecasts" sheetId="57" r:id="rId9"/>
    <sheet name="RoRE inputs" sheetId="67" r:id="rId10"/>
    <sheet name="Other inputs" sheetId="60" r:id="rId11"/>
    <sheet name="Calcs &gt;&gt;" sheetId="33" r:id="rId12"/>
    <sheet name="WACC" sheetId="28" r:id="rId13"/>
    <sheet name="RAB" sheetId="30" r:id="rId14"/>
    <sheet name="Return" sheetId="34" r:id="rId15"/>
    <sheet name="Asset beta" sheetId="66" r:id="rId16"/>
    <sheet name="Results&gt;&gt;" sheetId="35" r:id="rId17"/>
    <sheet name="Regulated revenue" sheetId="58" r:id="rId18"/>
    <sheet name="Earnings" sheetId="68" r:id="rId19"/>
    <sheet name="RAB summary" sheetId="44" r:id="rId20"/>
    <sheet name="RoRE" sheetId="16" r:id="rId21"/>
    <sheet name="Charts&gt;&gt;" sheetId="63" r:id="rId22"/>
    <sheet name="RoRE chart" sheetId="45" r:id="rId23"/>
    <sheet name="RAB charts" sheetId="53" r:id="rId24"/>
    <sheet name="RoRE scenarios&gt;&gt;" sheetId="39" r:id="rId25"/>
    <sheet name="Scenarios" sheetId="62" r:id="rId26"/>
    <sheet name="Other inputs&gt;&gt;" sheetId="38" r:id="rId27"/>
    <sheet name="5B Revenues &amp; Costs (notional)" sheetId="55" r:id="rId28"/>
    <sheet name="5A Revenues &amp; Costs (actual)" sheetId="17" r:id="rId29"/>
    <sheet name="SONI BPDT RAB" sheetId="27" r:id="rId30"/>
    <sheet name="1 Price control buildup" sheetId="15" r:id="rId31"/>
    <sheet name="3 Finance" sheetId="14" r:id="rId32"/>
    <sheet name="4 RAB Overview" sheetId="7" r:id="rId33"/>
  </sheets>
  <externalReferences>
    <externalReference r:id="rId34"/>
    <externalReference r:id="rId35"/>
  </externalReferences>
  <definedNames>
    <definedName name="\J">#REF!</definedName>
    <definedName name="\S">#REF!</definedName>
    <definedName name="_Order1" hidden="1">255</definedName>
    <definedName name="_Order2" hidden="1">255</definedName>
    <definedName name="ASSETS">#REF!</definedName>
    <definedName name="DEPREC">#REF!</definedName>
    <definedName name="ESOpf">[1]SystemOperator!$V$138:$AT$138</definedName>
    <definedName name="JOURNAL">#REF!</definedName>
    <definedName name="LaptopsPCs">#REF!</definedName>
    <definedName name="_xlnm.Print_Area" localSheetId="30">'1 Price control buildup'!$B$3:$N$71</definedName>
    <definedName name="_xlnm.Print_Area" localSheetId="32">'4 RAB Overview'!$B$1:$W$47</definedName>
    <definedName name="_xlnm.Print_Area" localSheetId="28">'5A Revenues &amp; Costs (actual)'!$B$7:$O$76</definedName>
    <definedName name="_xlnm.Print_Area" localSheetId="27">'5B Revenues &amp; Costs (notional)'!$B$5:$O$76</definedName>
    <definedName name="Print_Area_MI">#REF!</definedName>
    <definedName name="_xlnm.Print_Titles" localSheetId="28">'5A Revenues &amp; Costs (actual)'!$11:$12</definedName>
    <definedName name="_xlnm.Print_Titles" localSheetId="27">'5B Revenues &amp; Costs (notional)'!$11:$12</definedName>
    <definedName name="SCHEDULE">#REF!</definedName>
    <definedName name="Years">[2]Inputs!$B$5:$J$5</definedName>
    <definedName name="Z_5DBAA0F8_2D4C_4DEE_9709_5E6FDA1FF673_.wvu.PrintArea" localSheetId="28" hidden="1">'5A Revenues &amp; Costs (actual)'!$B$4:$O$79</definedName>
    <definedName name="Z_5DBAA0F8_2D4C_4DEE_9709_5E6FDA1FF673_.wvu.PrintArea" localSheetId="27" hidden="1">'5B Revenues &amp; Costs (notional)'!$B$4:$O$78</definedName>
    <definedName name="Z_5DBAA0F8_2D4C_4DEE_9709_5E6FDA1FF673_.wvu.PrintTitles" localSheetId="28" hidden="1">'5A Revenues &amp; Costs (actual)'!$11:$12</definedName>
    <definedName name="Z_5DBAA0F8_2D4C_4DEE_9709_5E6FDA1FF673_.wvu.PrintTitles" localSheetId="27" hidden="1">'5B Revenues &amp; Costs (notional)'!$11:$12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58" l="1"/>
  <c r="G17" i="58"/>
  <c r="F17" i="58"/>
  <c r="E17" i="58"/>
  <c r="D17" i="58"/>
  <c r="I17" i="58" s="1"/>
  <c r="H19" i="13"/>
  <c r="G19" i="13"/>
  <c r="F19" i="13"/>
  <c r="E19" i="13"/>
  <c r="D19" i="13"/>
  <c r="I18" i="13"/>
  <c r="H9" i="58"/>
  <c r="G9" i="58"/>
  <c r="F9" i="58"/>
  <c r="E9" i="58"/>
  <c r="D9" i="58"/>
  <c r="I9" i="58" l="1"/>
  <c r="H12" i="13"/>
  <c r="G12" i="13"/>
  <c r="F12" i="13"/>
  <c r="E12" i="13"/>
  <c r="D12" i="13"/>
  <c r="I11" i="13"/>
  <c r="H47" i="13"/>
  <c r="G47" i="13"/>
  <c r="F47" i="13"/>
  <c r="E47" i="13"/>
  <c r="D47" i="13"/>
  <c r="I30" i="13"/>
  <c r="I29" i="13"/>
  <c r="I28" i="13"/>
  <c r="I27" i="13"/>
  <c r="I26" i="13"/>
  <c r="E39" i="60" l="1"/>
  <c r="D39" i="60"/>
  <c r="C39" i="60"/>
  <c r="B39" i="60"/>
  <c r="F39" i="60" s="1"/>
  <c r="C27" i="60" s="1"/>
  <c r="D33" i="60"/>
  <c r="C33" i="60"/>
  <c r="B33" i="60"/>
  <c r="E33" i="60" s="1"/>
  <c r="C25" i="60"/>
  <c r="B25" i="60"/>
  <c r="B18" i="60"/>
  <c r="B11" i="60"/>
  <c r="B19" i="60" l="1"/>
  <c r="B26" i="60"/>
  <c r="K24" i="53"/>
  <c r="J24" i="53"/>
  <c r="I24" i="53"/>
  <c r="H24" i="53"/>
  <c r="G24" i="53"/>
  <c r="F24" i="53"/>
  <c r="E24" i="53"/>
  <c r="D24" i="53"/>
  <c r="C24" i="53"/>
  <c r="B24" i="53"/>
  <c r="J9" i="27" l="1"/>
  <c r="C17" i="16"/>
  <c r="J9" i="30" l="1"/>
  <c r="I107" i="36"/>
  <c r="I106" i="36"/>
  <c r="I103" i="36"/>
  <c r="I102" i="36"/>
  <c r="E57" i="62" l="1"/>
  <c r="E50" i="62"/>
  <c r="E43" i="62"/>
  <c r="E36" i="62"/>
  <c r="F43" i="62" l="1"/>
  <c r="F50" i="62"/>
  <c r="G50" i="62"/>
  <c r="G43" i="62"/>
  <c r="F36" i="62"/>
  <c r="F57" i="62"/>
  <c r="G57" i="62" l="1"/>
  <c r="H43" i="62"/>
  <c r="H50" i="62"/>
  <c r="G36" i="62"/>
  <c r="H57" i="62" l="1"/>
  <c r="H36" i="62"/>
  <c r="H18" i="58" l="1"/>
  <c r="G18" i="58"/>
  <c r="F18" i="58"/>
  <c r="E18" i="58"/>
  <c r="D18" i="58"/>
  <c r="H16" i="58"/>
  <c r="G16" i="58"/>
  <c r="F16" i="58"/>
  <c r="E16" i="58"/>
  <c r="D16" i="58"/>
  <c r="H15" i="58"/>
  <c r="G15" i="58"/>
  <c r="F15" i="58"/>
  <c r="E15" i="58"/>
  <c r="D15" i="58"/>
  <c r="H14" i="58"/>
  <c r="G14" i="58"/>
  <c r="F14" i="58"/>
  <c r="E14" i="58"/>
  <c r="D14" i="58"/>
  <c r="H10" i="58"/>
  <c r="G10" i="58"/>
  <c r="F10" i="58"/>
  <c r="E10" i="58"/>
  <c r="D10" i="58"/>
  <c r="H19" i="58" l="1"/>
  <c r="I15" i="58"/>
  <c r="G19" i="58"/>
  <c r="I16" i="58"/>
  <c r="F19" i="58"/>
  <c r="I18" i="58"/>
  <c r="D19" i="58"/>
  <c r="E19" i="58"/>
  <c r="I14" i="58"/>
  <c r="I10" i="58"/>
  <c r="I5" i="57"/>
  <c r="H55" i="13"/>
  <c r="H22" i="57" s="1"/>
  <c r="G55" i="13"/>
  <c r="G22" i="57" s="1"/>
  <c r="F55" i="13"/>
  <c r="F22" i="57" s="1"/>
  <c r="E55" i="13"/>
  <c r="E22" i="57" s="1"/>
  <c r="D55" i="13"/>
  <c r="D22" i="57" s="1"/>
  <c r="I54" i="13"/>
  <c r="I10" i="57"/>
  <c r="I9" i="57"/>
  <c r="I7" i="57"/>
  <c r="H21" i="57"/>
  <c r="G21" i="57"/>
  <c r="F21" i="57"/>
  <c r="E21" i="57"/>
  <c r="D21" i="57"/>
  <c r="I43" i="13"/>
  <c r="I42" i="13"/>
  <c r="I41" i="13"/>
  <c r="I40" i="13"/>
  <c r="I39" i="13"/>
  <c r="I38" i="13"/>
  <c r="I37" i="13"/>
  <c r="I36" i="13"/>
  <c r="I35" i="13"/>
  <c r="I34" i="13"/>
  <c r="I33" i="13"/>
  <c r="I32" i="13"/>
  <c r="I31" i="13"/>
  <c r="H20" i="57"/>
  <c r="G20" i="57"/>
  <c r="F20" i="57"/>
  <c r="E20" i="57"/>
  <c r="D20" i="57"/>
  <c r="I17" i="13"/>
  <c r="I16" i="13"/>
  <c r="I15" i="13"/>
  <c r="I20" i="57" l="1"/>
  <c r="I21" i="57"/>
  <c r="I19" i="58"/>
  <c r="I22" i="57"/>
  <c r="I55" i="13"/>
  <c r="I47" i="13"/>
  <c r="I19" i="13"/>
  <c r="H25" i="58"/>
  <c r="G25" i="58"/>
  <c r="F25" i="58"/>
  <c r="E25" i="58"/>
  <c r="D25" i="58"/>
  <c r="I28" i="57"/>
  <c r="H32" i="57"/>
  <c r="G32" i="57"/>
  <c r="F32" i="57"/>
  <c r="E32" i="57"/>
  <c r="D32" i="57"/>
  <c r="I25" i="58" l="1"/>
  <c r="H34" i="57" l="1"/>
  <c r="G34" i="57"/>
  <c r="F34" i="57"/>
  <c r="E34" i="57"/>
  <c r="D34" i="57"/>
  <c r="H24" i="57"/>
  <c r="G24" i="57"/>
  <c r="F24" i="57"/>
  <c r="E24" i="57"/>
  <c r="D24" i="57"/>
  <c r="I6" i="57"/>
  <c r="I8" i="57"/>
  <c r="E60" i="57" l="1"/>
  <c r="F60" i="57"/>
  <c r="G60" i="57"/>
  <c r="H60" i="57"/>
  <c r="D60" i="57"/>
  <c r="D23" i="13" l="1"/>
  <c r="S67" i="30" s="1"/>
  <c r="E23" i="13"/>
  <c r="T67" i="30" s="1"/>
  <c r="F23" i="13"/>
  <c r="U67" i="30" s="1"/>
  <c r="G23" i="13"/>
  <c r="V67" i="30" s="1"/>
  <c r="H23" i="13"/>
  <c r="W67" i="30" s="1"/>
  <c r="D51" i="13"/>
  <c r="S120" i="30" s="1"/>
  <c r="E51" i="13"/>
  <c r="T120" i="30" s="1"/>
  <c r="F51" i="13"/>
  <c r="U120" i="30" s="1"/>
  <c r="G51" i="13"/>
  <c r="V120" i="30" s="1"/>
  <c r="H51" i="13"/>
  <c r="W120" i="30" s="1"/>
  <c r="F17" i="57" l="1"/>
  <c r="G16" i="57"/>
  <c r="E17" i="57"/>
  <c r="F16" i="57"/>
  <c r="H17" i="57"/>
  <c r="D17" i="57"/>
  <c r="E16" i="57"/>
  <c r="G17" i="57"/>
  <c r="H16" i="57"/>
  <c r="D16" i="57"/>
  <c r="H59" i="57"/>
  <c r="G59" i="57"/>
  <c r="F59" i="57"/>
  <c r="E59" i="57"/>
  <c r="D59" i="57"/>
  <c r="D45" i="57"/>
  <c r="I59" i="57" l="1"/>
  <c r="E45" i="57"/>
  <c r="F45" i="57"/>
  <c r="G45" i="57"/>
  <c r="H45" i="57"/>
  <c r="E44" i="57"/>
  <c r="F44" i="57"/>
  <c r="G44" i="57"/>
  <c r="H44" i="57"/>
  <c r="D44" i="57"/>
  <c r="H28" i="58" l="1"/>
  <c r="G28" i="58"/>
  <c r="F28" i="58"/>
  <c r="E28" i="58"/>
  <c r="H27" i="58"/>
  <c r="G27" i="58"/>
  <c r="F27" i="58"/>
  <c r="E27" i="58"/>
  <c r="H26" i="58"/>
  <c r="G26" i="58"/>
  <c r="F26" i="58"/>
  <c r="E26" i="58"/>
  <c r="H24" i="58"/>
  <c r="H29" i="58" s="1"/>
  <c r="G24" i="58"/>
  <c r="G29" i="58" s="1"/>
  <c r="F24" i="58"/>
  <c r="F29" i="58" s="1"/>
  <c r="E24" i="58"/>
  <c r="E29" i="58" s="1"/>
  <c r="D28" i="58"/>
  <c r="D27" i="58"/>
  <c r="D26" i="58"/>
  <c r="D24" i="58"/>
  <c r="H8" i="58"/>
  <c r="G8" i="58"/>
  <c r="F8" i="58"/>
  <c r="E8" i="58"/>
  <c r="D8" i="58"/>
  <c r="H7" i="58"/>
  <c r="G7" i="58"/>
  <c r="F7" i="58"/>
  <c r="E7" i="58"/>
  <c r="D7" i="58"/>
  <c r="H6" i="58"/>
  <c r="G6" i="58"/>
  <c r="F6" i="58"/>
  <c r="E6" i="58"/>
  <c r="D6" i="58"/>
  <c r="H33" i="58"/>
  <c r="G33" i="58"/>
  <c r="F33" i="58"/>
  <c r="E33" i="58"/>
  <c r="D33" i="58"/>
  <c r="H28" i="68"/>
  <c r="G28" i="68"/>
  <c r="F28" i="68"/>
  <c r="E28" i="68"/>
  <c r="D28" i="68"/>
  <c r="I67" i="13"/>
  <c r="D29" i="58" l="1"/>
  <c r="E11" i="58"/>
  <c r="E21" i="58" s="1"/>
  <c r="G11" i="58"/>
  <c r="G21" i="58" s="1"/>
  <c r="F11" i="58"/>
  <c r="F21" i="58" s="1"/>
  <c r="D11" i="58"/>
  <c r="D21" i="58" s="1"/>
  <c r="H11" i="58"/>
  <c r="H21" i="58" s="1"/>
  <c r="I27" i="58"/>
  <c r="I28" i="58"/>
  <c r="I24" i="58"/>
  <c r="I26" i="58"/>
  <c r="I28" i="68"/>
  <c r="I24" i="57"/>
  <c r="I7" i="58"/>
  <c r="I8" i="58"/>
  <c r="I6" i="58"/>
  <c r="I33" i="58"/>
  <c r="F37" i="62" l="1"/>
  <c r="F44" i="62"/>
  <c r="F51" i="62"/>
  <c r="F58" i="62"/>
  <c r="G44" i="62"/>
  <c r="G51" i="62"/>
  <c r="G58" i="62"/>
  <c r="G37" i="62"/>
  <c r="H44" i="62"/>
  <c r="H51" i="62"/>
  <c r="H58" i="62"/>
  <c r="H37" i="62"/>
  <c r="E58" i="62"/>
  <c r="E51" i="62"/>
  <c r="E44" i="62"/>
  <c r="E37" i="62"/>
  <c r="D28" i="62"/>
  <c r="D21" i="62"/>
  <c r="D14" i="62"/>
  <c r="D7" i="62"/>
  <c r="D58" i="62"/>
  <c r="D44" i="62"/>
  <c r="D51" i="62"/>
  <c r="D37" i="62"/>
  <c r="I11" i="58"/>
  <c r="I21" i="58" s="1"/>
  <c r="I29" i="58"/>
  <c r="O305" i="30"/>
  <c r="N305" i="30"/>
  <c r="M305" i="30"/>
  <c r="L305" i="30"/>
  <c r="K305" i="30"/>
  <c r="I35" i="57"/>
  <c r="I31" i="57"/>
  <c r="I30" i="57"/>
  <c r="I29" i="57" l="1"/>
  <c r="I27" i="57"/>
  <c r="R24" i="67" l="1"/>
  <c r="Q24" i="67"/>
  <c r="P24" i="67"/>
  <c r="O24" i="67"/>
  <c r="N24" i="67"/>
  <c r="M24" i="67"/>
  <c r="L24" i="67"/>
  <c r="K24" i="67"/>
  <c r="J24" i="67"/>
  <c r="I24" i="67"/>
  <c r="H24" i="67"/>
  <c r="G24" i="67"/>
  <c r="F24" i="67"/>
  <c r="E24" i="67"/>
  <c r="D24" i="67"/>
  <c r="C24" i="67"/>
  <c r="B24" i="67"/>
  <c r="R23" i="67"/>
  <c r="Q23" i="67"/>
  <c r="P23" i="67"/>
  <c r="O23" i="67"/>
  <c r="N23" i="67"/>
  <c r="M23" i="67"/>
  <c r="L23" i="67"/>
  <c r="K23" i="67"/>
  <c r="J23" i="67"/>
  <c r="I23" i="67"/>
  <c r="H23" i="67"/>
  <c r="G23" i="67"/>
  <c r="F23" i="67"/>
  <c r="E23" i="67"/>
  <c r="D23" i="67"/>
  <c r="C23" i="67"/>
  <c r="B23" i="67"/>
  <c r="R22" i="67"/>
  <c r="Q22" i="67"/>
  <c r="P22" i="67"/>
  <c r="O22" i="67"/>
  <c r="N22" i="67"/>
  <c r="M22" i="67"/>
  <c r="L22" i="67"/>
  <c r="K22" i="67"/>
  <c r="J22" i="67"/>
  <c r="I22" i="67"/>
  <c r="H22" i="67"/>
  <c r="G22" i="67"/>
  <c r="F22" i="67"/>
  <c r="E22" i="67"/>
  <c r="D22" i="67"/>
  <c r="C22" i="67"/>
  <c r="B22" i="67"/>
  <c r="R21" i="67"/>
  <c r="Q21" i="67"/>
  <c r="P21" i="67"/>
  <c r="O21" i="67"/>
  <c r="N21" i="67"/>
  <c r="M21" i="67"/>
  <c r="L21" i="67"/>
  <c r="K21" i="67"/>
  <c r="J21" i="67"/>
  <c r="I21" i="67"/>
  <c r="H21" i="67"/>
  <c r="G21" i="67"/>
  <c r="F21" i="67"/>
  <c r="E21" i="67"/>
  <c r="D21" i="67"/>
  <c r="C21" i="67"/>
  <c r="B21" i="67"/>
  <c r="R20" i="67"/>
  <c r="Q20" i="67"/>
  <c r="P20" i="67"/>
  <c r="O20" i="67"/>
  <c r="N20" i="67"/>
  <c r="M20" i="67"/>
  <c r="L20" i="67"/>
  <c r="K20" i="67"/>
  <c r="J20" i="67"/>
  <c r="I20" i="67"/>
  <c r="H20" i="67"/>
  <c r="G20" i="67"/>
  <c r="F20" i="67"/>
  <c r="E20" i="67"/>
  <c r="D20" i="67"/>
  <c r="C20" i="67"/>
  <c r="B20" i="67"/>
  <c r="R19" i="67"/>
  <c r="Q19" i="67"/>
  <c r="P19" i="67"/>
  <c r="O19" i="67"/>
  <c r="N19" i="67"/>
  <c r="M19" i="67"/>
  <c r="L19" i="67"/>
  <c r="K19" i="67"/>
  <c r="J19" i="67"/>
  <c r="I19" i="67"/>
  <c r="H19" i="67"/>
  <c r="G19" i="67"/>
  <c r="F19" i="67"/>
  <c r="E19" i="67"/>
  <c r="D19" i="67"/>
  <c r="C19" i="67"/>
  <c r="B19" i="67"/>
  <c r="R18" i="67"/>
  <c r="Q18" i="67"/>
  <c r="P18" i="67"/>
  <c r="O18" i="67"/>
  <c r="N18" i="67"/>
  <c r="M18" i="67"/>
  <c r="L18" i="67"/>
  <c r="K18" i="67"/>
  <c r="J18" i="67"/>
  <c r="I18" i="67"/>
  <c r="H18" i="67"/>
  <c r="G18" i="67"/>
  <c r="F18" i="67"/>
  <c r="E18" i="67"/>
  <c r="D18" i="67"/>
  <c r="C18" i="67"/>
  <c r="B18" i="67"/>
  <c r="S16" i="67"/>
  <c r="S15" i="67"/>
  <c r="S14" i="67"/>
  <c r="S13" i="67"/>
  <c r="S12" i="67"/>
  <c r="S11" i="67"/>
  <c r="S10" i="67"/>
  <c r="S9" i="67"/>
  <c r="S8" i="67"/>
  <c r="S7" i="67"/>
  <c r="S6" i="67"/>
  <c r="S5" i="67"/>
  <c r="S4" i="67"/>
  <c r="S22" i="67" l="1"/>
  <c r="S18" i="67"/>
  <c r="S21" i="67"/>
  <c r="S19" i="67"/>
  <c r="S20" i="67"/>
  <c r="S23" i="67"/>
  <c r="S24" i="67"/>
  <c r="H29" i="68" l="1"/>
  <c r="G29" i="68"/>
  <c r="F29" i="68"/>
  <c r="E29" i="68"/>
  <c r="D29" i="68"/>
  <c r="I29" i="68" l="1"/>
  <c r="I46" i="16"/>
  <c r="H46" i="16"/>
  <c r="F46" i="16"/>
  <c r="E46" i="16"/>
  <c r="I45" i="16"/>
  <c r="H45" i="16"/>
  <c r="F45" i="16"/>
  <c r="E45" i="16"/>
  <c r="E27" i="62"/>
  <c r="E28" i="62" s="1"/>
  <c r="E20" i="62"/>
  <c r="E13" i="62"/>
  <c r="E6" i="62"/>
  <c r="F20" i="62" l="1"/>
  <c r="F21" i="62" s="1"/>
  <c r="E21" i="62"/>
  <c r="F13" i="62"/>
  <c r="F14" i="62" s="1"/>
  <c r="E14" i="62"/>
  <c r="F6" i="62"/>
  <c r="F7" i="62" s="1"/>
  <c r="E7" i="62"/>
  <c r="G6" i="62"/>
  <c r="G7" i="62" s="1"/>
  <c r="F27" i="62"/>
  <c r="F28" i="62" s="1"/>
  <c r="G20" i="62"/>
  <c r="G21" i="62" s="1"/>
  <c r="G13" i="62"/>
  <c r="G14" i="62" s="1"/>
  <c r="H67" i="58"/>
  <c r="G67" i="58"/>
  <c r="F67" i="58"/>
  <c r="E67" i="58"/>
  <c r="D67" i="58"/>
  <c r="H65" i="58"/>
  <c r="G65" i="58"/>
  <c r="F65" i="58"/>
  <c r="E65" i="58"/>
  <c r="D65" i="58"/>
  <c r="I70" i="57"/>
  <c r="I66" i="57"/>
  <c r="F15" i="68" l="1"/>
  <c r="F14" i="68"/>
  <c r="G14" i="68"/>
  <c r="D14" i="68"/>
  <c r="H14" i="68"/>
  <c r="G15" i="68"/>
  <c r="E15" i="68"/>
  <c r="E14" i="68"/>
  <c r="D15" i="68"/>
  <c r="H15" i="68"/>
  <c r="I65" i="58"/>
  <c r="I67" i="58"/>
  <c r="H6" i="62"/>
  <c r="H7" i="62" s="1"/>
  <c r="G27" i="62"/>
  <c r="G28" i="62" s="1"/>
  <c r="H20" i="62"/>
  <c r="H21" i="62" s="1"/>
  <c r="H13" i="62"/>
  <c r="H14" i="62" s="1"/>
  <c r="O279" i="30"/>
  <c r="N279" i="30"/>
  <c r="M279" i="30"/>
  <c r="L279" i="30"/>
  <c r="K279" i="30"/>
  <c r="I14" i="68" l="1"/>
  <c r="I15" i="68"/>
  <c r="H27" i="62"/>
  <c r="H28" i="62" s="1"/>
  <c r="H61" i="57"/>
  <c r="H62" i="57" s="1"/>
  <c r="G61" i="57"/>
  <c r="G62" i="57" s="1"/>
  <c r="F61" i="57"/>
  <c r="F62" i="57" s="1"/>
  <c r="E61" i="57"/>
  <c r="E62" i="57" s="1"/>
  <c r="D61" i="57"/>
  <c r="D62" i="57" s="1"/>
  <c r="I41" i="57"/>
  <c r="O71" i="55"/>
  <c r="N71" i="55"/>
  <c r="M71" i="55"/>
  <c r="L71" i="55"/>
  <c r="K71" i="55"/>
  <c r="J71" i="55"/>
  <c r="I71" i="55"/>
  <c r="H71" i="55"/>
  <c r="G71" i="55"/>
  <c r="F71" i="55"/>
  <c r="O63" i="55"/>
  <c r="N63" i="55"/>
  <c r="M63" i="55"/>
  <c r="L63" i="55"/>
  <c r="K63" i="55"/>
  <c r="J63" i="55"/>
  <c r="I63" i="55"/>
  <c r="H63" i="55"/>
  <c r="G63" i="55"/>
  <c r="F63" i="55"/>
  <c r="O37" i="55"/>
  <c r="N37" i="55"/>
  <c r="M37" i="55"/>
  <c r="L37" i="55"/>
  <c r="K37" i="55"/>
  <c r="J37" i="55"/>
  <c r="I37" i="55"/>
  <c r="H37" i="55"/>
  <c r="G37" i="55"/>
  <c r="F37" i="55"/>
  <c r="O26" i="55"/>
  <c r="N26" i="55"/>
  <c r="M26" i="55"/>
  <c r="M39" i="55" s="1"/>
  <c r="M65" i="55" s="1"/>
  <c r="M73" i="55" s="1"/>
  <c r="L26" i="55"/>
  <c r="K26" i="55"/>
  <c r="J26" i="55"/>
  <c r="I26" i="55"/>
  <c r="I39" i="55" s="1"/>
  <c r="I65" i="55" s="1"/>
  <c r="I73" i="55" s="1"/>
  <c r="H26" i="55"/>
  <c r="G26" i="55"/>
  <c r="F26" i="55"/>
  <c r="H39" i="55" l="1"/>
  <c r="H65" i="55" s="1"/>
  <c r="H73" i="55" s="1"/>
  <c r="L39" i="55"/>
  <c r="L65" i="55" s="1"/>
  <c r="L73" i="55" s="1"/>
  <c r="J39" i="55"/>
  <c r="J65" i="55" s="1"/>
  <c r="J73" i="55" s="1"/>
  <c r="F39" i="55"/>
  <c r="F65" i="55" s="1"/>
  <c r="F73" i="55" s="1"/>
  <c r="N39" i="55"/>
  <c r="N65" i="55" s="1"/>
  <c r="N73" i="55" s="1"/>
  <c r="G39" i="55"/>
  <c r="G65" i="55" s="1"/>
  <c r="G73" i="55" s="1"/>
  <c r="K39" i="55"/>
  <c r="K65" i="55" s="1"/>
  <c r="K73" i="55" s="1"/>
  <c r="O39" i="55"/>
  <c r="O65" i="55" s="1"/>
  <c r="O73" i="55" s="1"/>
  <c r="I61" i="57"/>
  <c r="I50" i="13" l="1"/>
  <c r="I22" i="13"/>
  <c r="F163" i="62" l="1"/>
  <c r="F164" i="62" s="1"/>
  <c r="F165" i="62" s="1"/>
  <c r="F139" i="62"/>
  <c r="F140" i="62" s="1"/>
  <c r="F141" i="62" s="1"/>
  <c r="F127" i="62"/>
  <c r="F128" i="62" s="1"/>
  <c r="F129" i="62" s="1"/>
  <c r="F151" i="62"/>
  <c r="F152" i="62" s="1"/>
  <c r="F153" i="62" s="1"/>
  <c r="G127" i="62"/>
  <c r="G128" i="62" s="1"/>
  <c r="G129" i="62" s="1"/>
  <c r="G151" i="62"/>
  <c r="G152" i="62" s="1"/>
  <c r="G153" i="62" s="1"/>
  <c r="G163" i="62"/>
  <c r="G164" i="62" s="1"/>
  <c r="G165" i="62" s="1"/>
  <c r="G139" i="62"/>
  <c r="D151" i="62"/>
  <c r="D152" i="62" s="1"/>
  <c r="D153" i="62" s="1"/>
  <c r="D163" i="62"/>
  <c r="D139" i="62"/>
  <c r="D140" i="62" s="1"/>
  <c r="D141" i="62" s="1"/>
  <c r="D127" i="62"/>
  <c r="D128" i="62" s="1"/>
  <c r="D129" i="62" s="1"/>
  <c r="H151" i="62"/>
  <c r="H152" i="62" s="1"/>
  <c r="H153" i="62" s="1"/>
  <c r="H163" i="62"/>
  <c r="H164" i="62" s="1"/>
  <c r="H165" i="62" s="1"/>
  <c r="H139" i="62"/>
  <c r="H140" i="62" s="1"/>
  <c r="H141" i="62" s="1"/>
  <c r="H127" i="62"/>
  <c r="H128" i="62" s="1"/>
  <c r="H129" i="62" s="1"/>
  <c r="E163" i="62"/>
  <c r="E164" i="62" s="1"/>
  <c r="E165" i="62" s="1"/>
  <c r="E139" i="62"/>
  <c r="E140" i="62" s="1"/>
  <c r="E141" i="62" s="1"/>
  <c r="E127" i="62"/>
  <c r="E128" i="62" s="1"/>
  <c r="E129" i="62" s="1"/>
  <c r="E151" i="62"/>
  <c r="E152" i="62" s="1"/>
  <c r="E153" i="62" s="1"/>
  <c r="I23" i="13"/>
  <c r="I51" i="13"/>
  <c r="I17" i="57" l="1"/>
  <c r="I16" i="57"/>
  <c r="D154" i="62"/>
  <c r="D130" i="62"/>
  <c r="D142" i="62"/>
  <c r="D164" i="62"/>
  <c r="D165" i="62" s="1"/>
  <c r="G140" i="62"/>
  <c r="G141" i="62" s="1"/>
  <c r="D166" i="62" l="1"/>
  <c r="E142" i="62"/>
  <c r="E130" i="62"/>
  <c r="E154" i="62"/>
  <c r="B10" i="28"/>
  <c r="B9" i="28"/>
  <c r="B8" i="28"/>
  <c r="B7" i="28"/>
  <c r="B6" i="28"/>
  <c r="B5" i="28"/>
  <c r="B4" i="28"/>
  <c r="F130" i="62" l="1"/>
  <c r="F154" i="62"/>
  <c r="F142" i="62"/>
  <c r="E166" i="62"/>
  <c r="J6" i="30"/>
  <c r="J5" i="30"/>
  <c r="M12" i="30"/>
  <c r="J3" i="27"/>
  <c r="J6" i="27"/>
  <c r="G142" i="62" l="1"/>
  <c r="G130" i="62"/>
  <c r="F166" i="62"/>
  <c r="G154" i="62"/>
  <c r="H154" i="62" l="1"/>
  <c r="H130" i="62"/>
  <c r="G166" i="62"/>
  <c r="H142" i="62"/>
  <c r="B14" i="28"/>
  <c r="H166" i="62" l="1"/>
  <c r="M43" i="27" l="1"/>
  <c r="X43" i="27" s="1"/>
  <c r="L43" i="27"/>
  <c r="W43" i="27" s="1"/>
  <c r="K43" i="27"/>
  <c r="V43" i="27" s="1"/>
  <c r="J43" i="27"/>
  <c r="U43" i="27" s="1"/>
  <c r="I43" i="27"/>
  <c r="T43" i="27" s="1"/>
  <c r="H43" i="27"/>
  <c r="S43" i="27" s="1"/>
  <c r="G43" i="27"/>
  <c r="R43" i="27" s="1"/>
  <c r="F43" i="27"/>
  <c r="E43" i="27"/>
  <c r="D43" i="27"/>
  <c r="D236" i="30"/>
  <c r="H196" i="30"/>
  <c r="G196" i="30"/>
  <c r="F196" i="30"/>
  <c r="E196" i="30"/>
  <c r="D196" i="30"/>
  <c r="R162" i="30"/>
  <c r="M375" i="30" s="1"/>
  <c r="Q162" i="30"/>
  <c r="L375" i="30" s="1"/>
  <c r="Q161" i="30"/>
  <c r="L373" i="30" s="1"/>
  <c r="D201" i="30" l="1"/>
  <c r="D206" i="30" s="1"/>
  <c r="H201" i="30"/>
  <c r="H206" i="30" s="1"/>
  <c r="H211" i="30" s="1"/>
  <c r="E201" i="30"/>
  <c r="E206" i="30" s="1"/>
  <c r="E211" i="30" s="1"/>
  <c r="I196" i="30"/>
  <c r="F201" i="30"/>
  <c r="F206" i="30" s="1"/>
  <c r="F211" i="30" s="1"/>
  <c r="G201" i="30"/>
  <c r="G206" i="30" s="1"/>
  <c r="G211" i="30" s="1"/>
  <c r="I201" i="30" l="1"/>
  <c r="I206" i="30"/>
  <c r="D211" i="30"/>
  <c r="I211" i="30" s="1"/>
  <c r="E236" i="30" s="1"/>
  <c r="F236" i="30" s="1"/>
  <c r="I88" i="36" l="1"/>
  <c r="I87" i="36"/>
  <c r="I86" i="36"/>
  <c r="I113" i="36" l="1"/>
  <c r="I112" i="36"/>
  <c r="I96" i="36"/>
  <c r="I93" i="36"/>
  <c r="I92" i="36"/>
  <c r="I91" i="36"/>
  <c r="D16" i="45" l="1"/>
  <c r="G22" i="45" s="1"/>
  <c r="D15" i="45"/>
  <c r="G20" i="45" s="1"/>
  <c r="D14" i="45"/>
  <c r="G21" i="45" s="1"/>
  <c r="D13" i="45"/>
  <c r="G19" i="45" s="1"/>
  <c r="E16" i="45"/>
  <c r="C22" i="45" s="1"/>
  <c r="E15" i="45"/>
  <c r="C20" i="45" s="1"/>
  <c r="E14" i="45"/>
  <c r="C21" i="45" s="1"/>
  <c r="E13" i="45"/>
  <c r="C19" i="45" s="1"/>
  <c r="C16" i="45"/>
  <c r="F22" i="45" s="1"/>
  <c r="C15" i="45"/>
  <c r="F20" i="45" s="1"/>
  <c r="C14" i="45"/>
  <c r="F21" i="45" s="1"/>
  <c r="C13" i="45"/>
  <c r="F19" i="45" s="1"/>
  <c r="B16" i="45"/>
  <c r="B15" i="45"/>
  <c r="B14" i="45"/>
  <c r="B13" i="45"/>
  <c r="F13" i="45" l="1"/>
  <c r="D19" i="45" s="1"/>
  <c r="E19" i="45"/>
  <c r="F14" i="45"/>
  <c r="D21" i="45" s="1"/>
  <c r="E21" i="45"/>
  <c r="F76" i="57"/>
  <c r="E76" i="57"/>
  <c r="H76" i="57"/>
  <c r="D76" i="57"/>
  <c r="G76" i="57"/>
  <c r="N7" i="30"/>
  <c r="O4" i="27"/>
  <c r="L4" i="27"/>
  <c r="M7" i="30"/>
  <c r="K4" i="27"/>
  <c r="N4" i="27"/>
  <c r="L7" i="30"/>
  <c r="M4" i="27"/>
  <c r="O7" i="30"/>
  <c r="K7" i="30"/>
  <c r="F15" i="45"/>
  <c r="D20" i="45" s="1"/>
  <c r="E20" i="45"/>
  <c r="F16" i="45"/>
  <c r="D22" i="45" s="1"/>
  <c r="E22" i="45"/>
  <c r="H70" i="13" l="1"/>
  <c r="H53" i="58" s="1"/>
  <c r="H9" i="68" s="1"/>
  <c r="H72" i="68" s="1"/>
  <c r="G70" i="13"/>
  <c r="G53" i="58" s="1"/>
  <c r="G9" i="68" s="1"/>
  <c r="G72" i="68" s="1"/>
  <c r="E70" i="13"/>
  <c r="E53" i="58" s="1"/>
  <c r="E9" i="68" s="1"/>
  <c r="E72" i="68" s="1"/>
  <c r="F70" i="13"/>
  <c r="F53" i="58" s="1"/>
  <c r="F9" i="68" s="1"/>
  <c r="F72" i="68" s="1"/>
  <c r="D70" i="13"/>
  <c r="E52" i="57"/>
  <c r="E19" i="68" s="1"/>
  <c r="G52" i="57"/>
  <c r="G19" i="68" s="1"/>
  <c r="F52" i="57"/>
  <c r="F19" i="68" s="1"/>
  <c r="H52" i="57"/>
  <c r="H19" i="68" s="1"/>
  <c r="D52" i="57"/>
  <c r="D56" i="57"/>
  <c r="G46" i="57"/>
  <c r="G35" i="68" s="1"/>
  <c r="F46" i="57"/>
  <c r="F35" i="68" s="1"/>
  <c r="H46" i="57"/>
  <c r="H35" i="68" s="1"/>
  <c r="E46" i="57"/>
  <c r="E35" i="68" s="1"/>
  <c r="D46" i="57"/>
  <c r="D35" i="68" s="1"/>
  <c r="D51" i="57"/>
  <c r="H55" i="57"/>
  <c r="H37" i="68" s="1"/>
  <c r="E55" i="57"/>
  <c r="E37" i="68" s="1"/>
  <c r="G55" i="57"/>
  <c r="G37" i="68" s="1"/>
  <c r="F55" i="57"/>
  <c r="F37" i="68" s="1"/>
  <c r="D55" i="57"/>
  <c r="D37" i="68" s="1"/>
  <c r="H67" i="62"/>
  <c r="H68" i="62" s="1"/>
  <c r="H69" i="62" s="1"/>
  <c r="H88" i="62"/>
  <c r="H89" i="62" s="1"/>
  <c r="H90" i="62" s="1"/>
  <c r="H81" i="62"/>
  <c r="H82" i="62" s="1"/>
  <c r="H83" i="62" s="1"/>
  <c r="H74" i="62"/>
  <c r="H75" i="62" s="1"/>
  <c r="H76" i="62" s="1"/>
  <c r="H51" i="57"/>
  <c r="H56" i="57"/>
  <c r="H49" i="57"/>
  <c r="H34" i="68"/>
  <c r="H33" i="68"/>
  <c r="E88" i="62"/>
  <c r="E89" i="62" s="1"/>
  <c r="E90" i="62" s="1"/>
  <c r="E81" i="62"/>
  <c r="E82" i="62" s="1"/>
  <c r="E83" i="62" s="1"/>
  <c r="E74" i="62"/>
  <c r="E75" i="62" s="1"/>
  <c r="E76" i="62" s="1"/>
  <c r="E67" i="62"/>
  <c r="E68" i="62" s="1"/>
  <c r="E69" i="62" s="1"/>
  <c r="E33" i="68"/>
  <c r="E56" i="57"/>
  <c r="E51" i="57"/>
  <c r="E34" i="68"/>
  <c r="E49" i="57"/>
  <c r="G74" i="62"/>
  <c r="G75" i="62" s="1"/>
  <c r="G76" i="62" s="1"/>
  <c r="G67" i="62"/>
  <c r="G68" i="62" s="1"/>
  <c r="G69" i="62" s="1"/>
  <c r="G88" i="62"/>
  <c r="G89" i="62" s="1"/>
  <c r="G90" i="62" s="1"/>
  <c r="G81" i="62"/>
  <c r="G82" i="62" s="1"/>
  <c r="G83" i="62" s="1"/>
  <c r="G49" i="57"/>
  <c r="G56" i="57"/>
  <c r="G33" i="68"/>
  <c r="G34" i="68"/>
  <c r="G51" i="57"/>
  <c r="F81" i="62"/>
  <c r="F82" i="62" s="1"/>
  <c r="F83" i="62" s="1"/>
  <c r="F74" i="62"/>
  <c r="F75" i="62" s="1"/>
  <c r="F76" i="62" s="1"/>
  <c r="F67" i="62"/>
  <c r="F68" i="62" s="1"/>
  <c r="F69" i="62" s="1"/>
  <c r="F88" i="62"/>
  <c r="F89" i="62" s="1"/>
  <c r="F90" i="62" s="1"/>
  <c r="F51" i="57"/>
  <c r="F33" i="68"/>
  <c r="F56" i="57"/>
  <c r="F49" i="57"/>
  <c r="F34" i="68"/>
  <c r="D67" i="62"/>
  <c r="D68" i="62" s="1"/>
  <c r="D69" i="62" s="1"/>
  <c r="D88" i="62"/>
  <c r="D89" i="62" s="1"/>
  <c r="D90" i="62" s="1"/>
  <c r="D81" i="62"/>
  <c r="D82" i="62" s="1"/>
  <c r="D83" i="62" s="1"/>
  <c r="D74" i="62"/>
  <c r="D75" i="62" s="1"/>
  <c r="D76" i="62" s="1"/>
  <c r="D33" i="68"/>
  <c r="D34" i="68"/>
  <c r="D49" i="57"/>
  <c r="Q35" i="34"/>
  <c r="D53" i="58" l="1"/>
  <c r="I70" i="13"/>
  <c r="I52" i="57"/>
  <c r="D19" i="68"/>
  <c r="I19" i="68" s="1"/>
  <c r="G32" i="58"/>
  <c r="H36" i="68"/>
  <c r="G36" i="68"/>
  <c r="D36" i="68"/>
  <c r="F36" i="68"/>
  <c r="E36" i="68"/>
  <c r="E32" i="58"/>
  <c r="F32" i="58"/>
  <c r="G60" i="58"/>
  <c r="G12" i="68" s="1"/>
  <c r="D60" i="58"/>
  <c r="F60" i="58"/>
  <c r="F12" i="68" s="1"/>
  <c r="E60" i="58"/>
  <c r="E12" i="68" s="1"/>
  <c r="H60" i="58"/>
  <c r="H12" i="68" s="1"/>
  <c r="F20" i="68"/>
  <c r="E20" i="68"/>
  <c r="H20" i="68"/>
  <c r="H32" i="58"/>
  <c r="D20" i="68"/>
  <c r="G20" i="68"/>
  <c r="I34" i="68"/>
  <c r="I37" i="68"/>
  <c r="I33" i="68"/>
  <c r="I45" i="57"/>
  <c r="D59" i="58"/>
  <c r="F59" i="58"/>
  <c r="F58" i="58"/>
  <c r="G59" i="58"/>
  <c r="I56" i="57"/>
  <c r="I51" i="57"/>
  <c r="G58" i="58"/>
  <c r="I49" i="57"/>
  <c r="I55" i="57"/>
  <c r="E58" i="58"/>
  <c r="H58" i="58"/>
  <c r="I46" i="57"/>
  <c r="I44" i="57"/>
  <c r="D58" i="58"/>
  <c r="E59" i="58"/>
  <c r="H59" i="58"/>
  <c r="D12" i="45"/>
  <c r="C12" i="45"/>
  <c r="B12" i="45"/>
  <c r="I53" i="58" l="1"/>
  <c r="D9" i="68"/>
  <c r="I36" i="68"/>
  <c r="I35" i="68"/>
  <c r="G61" i="58"/>
  <c r="D61" i="58"/>
  <c r="H61" i="58"/>
  <c r="F10" i="68"/>
  <c r="F61" i="58"/>
  <c r="D12" i="68"/>
  <c r="I12" i="68" s="1"/>
  <c r="I60" i="58"/>
  <c r="E61" i="58"/>
  <c r="D32" i="58"/>
  <c r="I50" i="57"/>
  <c r="I20" i="68"/>
  <c r="I21" i="68" s="1"/>
  <c r="E11" i="68"/>
  <c r="D10" i="68"/>
  <c r="E10" i="68"/>
  <c r="F11" i="68"/>
  <c r="G10" i="68"/>
  <c r="D11" i="68"/>
  <c r="G11" i="68"/>
  <c r="H11" i="68"/>
  <c r="H10" i="68"/>
  <c r="I59" i="58"/>
  <c r="I58" i="58"/>
  <c r="F12" i="45"/>
  <c r="E12" i="45"/>
  <c r="D11" i="45"/>
  <c r="C11" i="45"/>
  <c r="B11" i="45"/>
  <c r="D10" i="45"/>
  <c r="C10" i="45"/>
  <c r="B10" i="45"/>
  <c r="I9" i="68" l="1"/>
  <c r="D72" i="68"/>
  <c r="I72" i="68" s="1"/>
  <c r="I11" i="68"/>
  <c r="I10" i="68"/>
  <c r="I32" i="58"/>
  <c r="I61" i="58"/>
  <c r="E11" i="45"/>
  <c r="E10" i="45"/>
  <c r="F10" i="45"/>
  <c r="F11" i="45"/>
  <c r="M325" i="30"/>
  <c r="L325" i="30"/>
  <c r="F13" i="30" l="1"/>
  <c r="F15" i="30" s="1"/>
  <c r="F381" i="30" s="1"/>
  <c r="E13" i="30"/>
  <c r="E15" i="30" s="1"/>
  <c r="E381" i="30" s="1"/>
  <c r="D13" i="30"/>
  <c r="D15" i="30" s="1"/>
  <c r="D381" i="30" s="1"/>
  <c r="F12" i="30"/>
  <c r="E12" i="30"/>
  <c r="D12" i="30"/>
  <c r="F369" i="30"/>
  <c r="E369" i="30"/>
  <c r="F368" i="30"/>
  <c r="E368" i="30"/>
  <c r="F367" i="30"/>
  <c r="E367" i="30"/>
  <c r="F366" i="30"/>
  <c r="E366" i="30"/>
  <c r="F365" i="30"/>
  <c r="E365" i="30"/>
  <c r="D369" i="30"/>
  <c r="D368" i="30"/>
  <c r="D367" i="30"/>
  <c r="D366" i="30"/>
  <c r="D365" i="30"/>
  <c r="F361" i="30"/>
  <c r="E361" i="30"/>
  <c r="F360" i="30"/>
  <c r="E360" i="30"/>
  <c r="F359" i="30"/>
  <c r="E359" i="30"/>
  <c r="F358" i="30"/>
  <c r="E358" i="30"/>
  <c r="F357" i="30"/>
  <c r="E357" i="30"/>
  <c r="H356" i="30"/>
  <c r="F356" i="30"/>
  <c r="E356" i="30"/>
  <c r="D361" i="30"/>
  <c r="D360" i="30"/>
  <c r="D359" i="30"/>
  <c r="D358" i="30"/>
  <c r="D357" i="30"/>
  <c r="D356" i="30"/>
  <c r="F417" i="30" l="1"/>
  <c r="F37" i="44" s="1"/>
  <c r="F413" i="30"/>
  <c r="F33" i="44" s="1"/>
  <c r="F416" i="30"/>
  <c r="F36" i="44" s="1"/>
  <c r="F414" i="30"/>
  <c r="F34" i="44" s="1"/>
  <c r="F415" i="30"/>
  <c r="F35" i="44" s="1"/>
  <c r="D415" i="30"/>
  <c r="D35" i="44" s="1"/>
  <c r="D416" i="30"/>
  <c r="D36" i="44" s="1"/>
  <c r="D417" i="30"/>
  <c r="D37" i="44" s="1"/>
  <c r="D413" i="30"/>
  <c r="D33" i="44" s="1"/>
  <c r="D414" i="30"/>
  <c r="D34" i="44" s="1"/>
  <c r="E416" i="30"/>
  <c r="E36" i="44" s="1"/>
  <c r="E417" i="30"/>
  <c r="E37" i="44" s="1"/>
  <c r="E413" i="30"/>
  <c r="E33" i="44" s="1"/>
  <c r="E415" i="30"/>
  <c r="E35" i="44" s="1"/>
  <c r="E414" i="30"/>
  <c r="E34" i="44" s="1"/>
  <c r="D399" i="30"/>
  <c r="D19" i="44" s="1"/>
  <c r="D403" i="30"/>
  <c r="D23" i="44" s="1"/>
  <c r="D409" i="30"/>
  <c r="D29" i="44" s="1"/>
  <c r="F407" i="30"/>
  <c r="F27" i="44" s="1"/>
  <c r="E406" i="30"/>
  <c r="E26" i="44" s="1"/>
  <c r="E410" i="30"/>
  <c r="E30" i="44" s="1"/>
  <c r="F401" i="30"/>
  <c r="F21" i="44" s="1"/>
  <c r="F45" i="44" s="1"/>
  <c r="E400" i="30"/>
  <c r="E20" i="44" s="1"/>
  <c r="E44" i="44" s="1"/>
  <c r="D402" i="30"/>
  <c r="D22" i="44" s="1"/>
  <c r="F400" i="30"/>
  <c r="F20" i="44" s="1"/>
  <c r="F44" i="44" s="1"/>
  <c r="F402" i="30"/>
  <c r="F22" i="44" s="1"/>
  <c r="D407" i="30"/>
  <c r="D27" i="44" s="1"/>
  <c r="E408" i="30"/>
  <c r="E28" i="44" s="1"/>
  <c r="E409" i="30"/>
  <c r="E29" i="44" s="1"/>
  <c r="D398" i="30"/>
  <c r="D18" i="44" s="1"/>
  <c r="E399" i="30"/>
  <c r="E19" i="44" s="1"/>
  <c r="E401" i="30"/>
  <c r="E21" i="44" s="1"/>
  <c r="E45" i="44" s="1"/>
  <c r="E403" i="30"/>
  <c r="E23" i="44" s="1"/>
  <c r="D408" i="30"/>
  <c r="D28" i="44" s="1"/>
  <c r="F406" i="30"/>
  <c r="F26" i="44" s="1"/>
  <c r="F408" i="30"/>
  <c r="F28" i="44" s="1"/>
  <c r="F409" i="30"/>
  <c r="F29" i="44" s="1"/>
  <c r="D400" i="30"/>
  <c r="D20" i="44" s="1"/>
  <c r="D44" i="44" s="1"/>
  <c r="D8" i="53" s="1"/>
  <c r="E398" i="30"/>
  <c r="E18" i="44" s="1"/>
  <c r="F399" i="30"/>
  <c r="F19" i="44" s="1"/>
  <c r="F403" i="30"/>
  <c r="F23" i="44" s="1"/>
  <c r="E407" i="30"/>
  <c r="E27" i="44" s="1"/>
  <c r="D401" i="30"/>
  <c r="D21" i="44" s="1"/>
  <c r="D45" i="44" s="1"/>
  <c r="D9" i="53" s="1"/>
  <c r="F398" i="30"/>
  <c r="F18" i="44" s="1"/>
  <c r="E402" i="30"/>
  <c r="E22" i="44" s="1"/>
  <c r="D406" i="30"/>
  <c r="D26" i="44" s="1"/>
  <c r="D410" i="30"/>
  <c r="D30" i="44" s="1"/>
  <c r="F410" i="30"/>
  <c r="F30" i="44" s="1"/>
  <c r="B20" i="28"/>
  <c r="F9" i="53" l="1"/>
  <c r="F8" i="53"/>
  <c r="E9" i="53"/>
  <c r="E8" i="53"/>
  <c r="D45" i="36"/>
  <c r="L323" i="30" l="1"/>
  <c r="G365" i="30" s="1"/>
  <c r="J303" i="30"/>
  <c r="I303" i="30"/>
  <c r="H303" i="30"/>
  <c r="G303" i="30"/>
  <c r="F303" i="30"/>
  <c r="E303" i="30"/>
  <c r="D303" i="30"/>
  <c r="J275" i="30"/>
  <c r="I275" i="30"/>
  <c r="H275" i="30"/>
  <c r="G275" i="30"/>
  <c r="F275" i="30"/>
  <c r="E275" i="30"/>
  <c r="D275" i="30"/>
  <c r="J274" i="30"/>
  <c r="I274" i="30"/>
  <c r="H274" i="30"/>
  <c r="G274" i="30"/>
  <c r="F274" i="30"/>
  <c r="E274" i="30"/>
  <c r="D274" i="30"/>
  <c r="J272" i="30"/>
  <c r="I272" i="30"/>
  <c r="H272" i="30"/>
  <c r="G272" i="30"/>
  <c r="F272" i="30"/>
  <c r="E272" i="30"/>
  <c r="M284" i="30" s="1"/>
  <c r="H357" i="30" s="1"/>
  <c r="D272" i="30"/>
  <c r="L283" i="30"/>
  <c r="G356" i="30" s="1"/>
  <c r="M226" i="30"/>
  <c r="H349" i="30" s="1"/>
  <c r="L226" i="30"/>
  <c r="G349" i="30" s="1"/>
  <c r="K226" i="30"/>
  <c r="F349" i="30" s="1"/>
  <c r="F392" i="30" s="1"/>
  <c r="F12" i="44" s="1"/>
  <c r="J226" i="30"/>
  <c r="E349" i="30" s="1"/>
  <c r="E392" i="30" s="1"/>
  <c r="E12" i="44" s="1"/>
  <c r="I226" i="30"/>
  <c r="D349" i="30" s="1"/>
  <c r="D392" i="30" s="1"/>
  <c r="D12" i="44" s="1"/>
  <c r="H226" i="30"/>
  <c r="M180" i="30"/>
  <c r="L180" i="30"/>
  <c r="K180" i="30"/>
  <c r="J180" i="30"/>
  <c r="I180" i="30"/>
  <c r="H180" i="30"/>
  <c r="R117" i="30" l="1"/>
  <c r="H195" i="30" s="1"/>
  <c r="Q117" i="30"/>
  <c r="G195" i="30" s="1"/>
  <c r="P117" i="30"/>
  <c r="F195" i="30" s="1"/>
  <c r="O117" i="30"/>
  <c r="E195" i="30" s="1"/>
  <c r="N117" i="30"/>
  <c r="D195" i="30" s="1"/>
  <c r="R64" i="30"/>
  <c r="H194" i="30" s="1"/>
  <c r="Q64" i="30"/>
  <c r="G194" i="30" s="1"/>
  <c r="P64" i="30"/>
  <c r="F194" i="30" s="1"/>
  <c r="O64" i="30"/>
  <c r="E194" i="30" s="1"/>
  <c r="N64" i="30"/>
  <c r="D194" i="30" s="1"/>
  <c r="H39" i="30" l="1"/>
  <c r="G39" i="30"/>
  <c r="F39" i="30"/>
  <c r="E39" i="30"/>
  <c r="D39" i="30"/>
  <c r="M57" i="30"/>
  <c r="L57" i="30"/>
  <c r="K57" i="30"/>
  <c r="J57" i="30"/>
  <c r="I57" i="30"/>
  <c r="H57" i="30"/>
  <c r="G56" i="30"/>
  <c r="F56" i="30"/>
  <c r="E56" i="30"/>
  <c r="D56" i="30"/>
  <c r="G55" i="30"/>
  <c r="F55" i="30"/>
  <c r="E55" i="30"/>
  <c r="D55" i="30"/>
  <c r="W23" i="30"/>
  <c r="V23" i="30"/>
  <c r="U23" i="30"/>
  <c r="T23" i="30"/>
  <c r="S23" i="30"/>
  <c r="R23" i="30"/>
  <c r="Q23" i="30"/>
  <c r="P23" i="30"/>
  <c r="O23" i="30"/>
  <c r="N23" i="30"/>
  <c r="M23" i="30"/>
  <c r="L23" i="30"/>
  <c r="K23" i="30"/>
  <c r="J23" i="30"/>
  <c r="I23" i="30"/>
  <c r="H23" i="30"/>
  <c r="G23" i="30"/>
  <c r="F23" i="30"/>
  <c r="E23" i="30"/>
  <c r="W22" i="30"/>
  <c r="V22" i="30"/>
  <c r="U22" i="30"/>
  <c r="T22" i="30"/>
  <c r="S22" i="30"/>
  <c r="R22" i="30"/>
  <c r="Q22" i="30"/>
  <c r="P22" i="30"/>
  <c r="O22" i="30"/>
  <c r="N22" i="30"/>
  <c r="M22" i="30"/>
  <c r="L22" i="30"/>
  <c r="K22" i="30"/>
  <c r="J22" i="30"/>
  <c r="I22" i="30"/>
  <c r="H22" i="30"/>
  <c r="G22" i="30"/>
  <c r="F22" i="30"/>
  <c r="E22" i="30"/>
  <c r="D23" i="30"/>
  <c r="D22" i="30"/>
  <c r="W24" i="30" l="1"/>
  <c r="V24" i="30"/>
  <c r="U24" i="30"/>
  <c r="T24" i="30"/>
  <c r="S24" i="30"/>
  <c r="R24" i="30"/>
  <c r="Q24" i="30"/>
  <c r="P24" i="30"/>
  <c r="O24" i="30"/>
  <c r="N24" i="30"/>
  <c r="O310" i="30" s="1"/>
  <c r="N325" i="30" s="1"/>
  <c r="Q310" i="30" l="1"/>
  <c r="Q312" i="30"/>
  <c r="Q311" i="30"/>
  <c r="R311" i="30"/>
  <c r="R312" i="30"/>
  <c r="R313" i="30"/>
  <c r="R310" i="30"/>
  <c r="S313" i="30"/>
  <c r="S310" i="30"/>
  <c r="S312" i="30"/>
  <c r="S311" i="30"/>
  <c r="P311" i="30"/>
  <c r="P310" i="30"/>
  <c r="Q325" i="30" l="1"/>
  <c r="O325" i="30"/>
  <c r="P325" i="30"/>
  <c r="I8" i="13" l="1"/>
  <c r="I9" i="13"/>
  <c r="I10" i="13"/>
  <c r="H225" i="30" l="1"/>
  <c r="R218" i="30"/>
  <c r="Q218" i="30"/>
  <c r="P218" i="30"/>
  <c r="O218" i="30"/>
  <c r="N218" i="30"/>
  <c r="M218" i="30"/>
  <c r="H341" i="30" s="1"/>
  <c r="L218" i="30"/>
  <c r="G341" i="30" s="1"/>
  <c r="K218" i="30"/>
  <c r="F341" i="30" s="1"/>
  <c r="F385" i="30" s="1"/>
  <c r="F5" i="44" s="1"/>
  <c r="F42" i="44" s="1"/>
  <c r="J218" i="30"/>
  <c r="E341" i="30" s="1"/>
  <c r="E385" i="30" s="1"/>
  <c r="E5" i="44" s="1"/>
  <c r="E42" i="44" s="1"/>
  <c r="I218" i="30"/>
  <c r="D341" i="30" s="1"/>
  <c r="D385" i="30" s="1"/>
  <c r="D5" i="44" s="1"/>
  <c r="D42" i="44" s="1"/>
  <c r="H218" i="30"/>
  <c r="G218" i="30"/>
  <c r="F218" i="30"/>
  <c r="E218" i="30"/>
  <c r="G228" i="30"/>
  <c r="F228" i="30"/>
  <c r="E228" i="30"/>
  <c r="D228" i="30"/>
  <c r="D218" i="30"/>
  <c r="D171" i="30"/>
  <c r="D217" i="30"/>
  <c r="D6" i="53" l="1"/>
  <c r="F6" i="53"/>
  <c r="E6" i="53"/>
  <c r="E63" i="58" l="1"/>
  <c r="G63" i="58"/>
  <c r="F63" i="58"/>
  <c r="H63" i="58"/>
  <c r="I60" i="57"/>
  <c r="E254" i="30"/>
  <c r="O341" i="30" s="1"/>
  <c r="F262" i="30"/>
  <c r="P349" i="30" s="1"/>
  <c r="H295" i="30"/>
  <c r="G295" i="30"/>
  <c r="F295" i="30"/>
  <c r="E295" i="30"/>
  <c r="D295" i="30"/>
  <c r="G262" i="30"/>
  <c r="Q349" i="30" s="1"/>
  <c r="D262" i="30"/>
  <c r="N349" i="30" s="1"/>
  <c r="D5" i="30"/>
  <c r="E5" i="30"/>
  <c r="F5" i="30"/>
  <c r="G5" i="30"/>
  <c r="H5" i="30"/>
  <c r="I5" i="30"/>
  <c r="D6" i="30"/>
  <c r="D8" i="30" s="1"/>
  <c r="E6" i="30"/>
  <c r="E8" i="30" s="1"/>
  <c r="F6" i="30"/>
  <c r="F8" i="30" s="1"/>
  <c r="G6" i="30"/>
  <c r="G8" i="30" s="1"/>
  <c r="H6" i="30"/>
  <c r="H8" i="30" s="1"/>
  <c r="I6" i="30"/>
  <c r="G12" i="30"/>
  <c r="H12" i="30"/>
  <c r="I12" i="30"/>
  <c r="J12" i="30"/>
  <c r="K12" i="30"/>
  <c r="L12" i="30"/>
  <c r="M14" i="30" s="1"/>
  <c r="M15" i="30" s="1"/>
  <c r="G13" i="30"/>
  <c r="G15" i="30" s="1"/>
  <c r="G381" i="30" s="1"/>
  <c r="H13" i="30"/>
  <c r="H15" i="30" s="1"/>
  <c r="H381" i="30" s="1"/>
  <c r="I13" i="30"/>
  <c r="I15" i="30" s="1"/>
  <c r="J13" i="30"/>
  <c r="J15" i="30" s="1"/>
  <c r="K13" i="30"/>
  <c r="K15" i="30" s="1"/>
  <c r="L13" i="30"/>
  <c r="L15" i="30" s="1"/>
  <c r="E72" i="30"/>
  <c r="E76" i="30" s="1"/>
  <c r="F72" i="30"/>
  <c r="G72" i="30"/>
  <c r="H72" i="30"/>
  <c r="H77" i="30" s="1"/>
  <c r="I72" i="30"/>
  <c r="I80" i="30" s="1"/>
  <c r="J72" i="30"/>
  <c r="J83" i="30" s="1"/>
  <c r="K72" i="30"/>
  <c r="K76" i="30" s="1"/>
  <c r="L72" i="30"/>
  <c r="L77" i="30" s="1"/>
  <c r="M72" i="30"/>
  <c r="M80" i="30" s="1"/>
  <c r="N72" i="30"/>
  <c r="N83" i="30" s="1"/>
  <c r="O72" i="30"/>
  <c r="O81" i="30" s="1"/>
  <c r="P72" i="30"/>
  <c r="Q72" i="30"/>
  <c r="R72" i="30"/>
  <c r="E75" i="30"/>
  <c r="F75" i="30"/>
  <c r="G75" i="30"/>
  <c r="H75" i="30"/>
  <c r="I75" i="30"/>
  <c r="J75" i="30"/>
  <c r="K75" i="30"/>
  <c r="L75" i="30"/>
  <c r="M75" i="30"/>
  <c r="N75" i="30"/>
  <c r="G79" i="30"/>
  <c r="H79" i="30"/>
  <c r="H81" i="30"/>
  <c r="D170" i="30"/>
  <c r="E171" i="30"/>
  <c r="F171" i="30"/>
  <c r="G171" i="30"/>
  <c r="H171" i="30"/>
  <c r="I171" i="30"/>
  <c r="J171" i="30"/>
  <c r="K171" i="30"/>
  <c r="L171" i="30"/>
  <c r="M171" i="30"/>
  <c r="N171" i="30"/>
  <c r="O171" i="30"/>
  <c r="P171" i="30"/>
  <c r="Q171" i="30"/>
  <c r="R171" i="30"/>
  <c r="E126" i="30"/>
  <c r="F126" i="30"/>
  <c r="G126" i="30"/>
  <c r="H126" i="30"/>
  <c r="I126" i="30"/>
  <c r="I129" i="30" s="1"/>
  <c r="H148" i="30" s="1"/>
  <c r="J126" i="30"/>
  <c r="K126" i="30"/>
  <c r="K131" i="30" s="1"/>
  <c r="L126" i="30"/>
  <c r="L130" i="30" s="1"/>
  <c r="M126" i="30"/>
  <c r="M129" i="30" s="1"/>
  <c r="N126" i="30"/>
  <c r="O126" i="30"/>
  <c r="P126" i="30"/>
  <c r="Q126" i="30"/>
  <c r="R126" i="30"/>
  <c r="H179" i="30"/>
  <c r="N180" i="30"/>
  <c r="O180" i="30"/>
  <c r="P180" i="30"/>
  <c r="Q180" i="30"/>
  <c r="R180" i="30"/>
  <c r="L284" i="30"/>
  <c r="G357" i="30" s="1"/>
  <c r="L285" i="30"/>
  <c r="G358" i="30" s="1"/>
  <c r="M285" i="30"/>
  <c r="H358" i="30" s="1"/>
  <c r="N285" i="30"/>
  <c r="I358" i="30" s="1"/>
  <c r="Z42" i="27" s="1"/>
  <c r="O285" i="30"/>
  <c r="J358" i="30" s="1"/>
  <c r="AA42" i="27" s="1"/>
  <c r="P285" i="30"/>
  <c r="K358" i="30" s="1"/>
  <c r="AB42" i="27" s="1"/>
  <c r="Q285" i="30"/>
  <c r="L358" i="30" s="1"/>
  <c r="AC42" i="27" s="1"/>
  <c r="R285" i="30"/>
  <c r="M358" i="30" s="1"/>
  <c r="AD42" i="27" s="1"/>
  <c r="L286" i="30"/>
  <c r="G359" i="30" s="1"/>
  <c r="M286" i="30"/>
  <c r="H359" i="30" s="1"/>
  <c r="N286" i="30"/>
  <c r="I359" i="30" s="1"/>
  <c r="Z43" i="27" s="1"/>
  <c r="O286" i="30"/>
  <c r="J359" i="30" s="1"/>
  <c r="AA43" i="27" s="1"/>
  <c r="P286" i="30"/>
  <c r="K359" i="30" s="1"/>
  <c r="AB43" i="27" s="1"/>
  <c r="Q286" i="30"/>
  <c r="L359" i="30" s="1"/>
  <c r="AC43" i="27" s="1"/>
  <c r="AN43" i="27" s="1"/>
  <c r="R286" i="30"/>
  <c r="M359" i="30" s="1"/>
  <c r="AD43" i="27" s="1"/>
  <c r="AO43" i="27" s="1"/>
  <c r="E309" i="30"/>
  <c r="F309" i="30"/>
  <c r="G309" i="30"/>
  <c r="H309" i="30"/>
  <c r="I309" i="30"/>
  <c r="J309" i="30"/>
  <c r="K309" i="30"/>
  <c r="L309" i="30"/>
  <c r="M309" i="30"/>
  <c r="N309" i="30"/>
  <c r="O309" i="30"/>
  <c r="P309" i="30"/>
  <c r="Q309" i="30"/>
  <c r="R309" i="30"/>
  <c r="L324" i="30"/>
  <c r="G366" i="30" s="1"/>
  <c r="M324" i="30"/>
  <c r="H366" i="30" s="1"/>
  <c r="N324" i="30"/>
  <c r="I366" i="30" s="1"/>
  <c r="Z33" i="27" s="1"/>
  <c r="O324" i="30"/>
  <c r="J366" i="30" s="1"/>
  <c r="AA33" i="27" s="1"/>
  <c r="P324" i="30"/>
  <c r="K366" i="30" s="1"/>
  <c r="AB33" i="27" s="1"/>
  <c r="Q324" i="30"/>
  <c r="L366" i="30" s="1"/>
  <c r="AC33" i="27" s="1"/>
  <c r="G367" i="30"/>
  <c r="H367" i="30"/>
  <c r="H254" i="30"/>
  <c r="R341" i="30" s="1"/>
  <c r="G254" i="30"/>
  <c r="Q341" i="30" s="1"/>
  <c r="F254" i="30"/>
  <c r="P341" i="30" s="1"/>
  <c r="F13" i="68" l="1"/>
  <c r="F73" i="68" s="1"/>
  <c r="G13" i="68"/>
  <c r="G73" i="68" s="1"/>
  <c r="H13" i="68"/>
  <c r="H73" i="68" s="1"/>
  <c r="E13" i="68"/>
  <c r="E73" i="68" s="1"/>
  <c r="H415" i="30"/>
  <c r="H35" i="44" s="1"/>
  <c r="H416" i="30"/>
  <c r="H36" i="44" s="1"/>
  <c r="H414" i="30"/>
  <c r="H34" i="44" s="1"/>
  <c r="H417" i="30"/>
  <c r="H37" i="44" s="1"/>
  <c r="H413" i="30"/>
  <c r="H33" i="44" s="1"/>
  <c r="G414" i="30"/>
  <c r="G34" i="44" s="1"/>
  <c r="G417" i="30"/>
  <c r="G37" i="44" s="1"/>
  <c r="G413" i="30"/>
  <c r="G33" i="44" s="1"/>
  <c r="G415" i="30"/>
  <c r="G35" i="44" s="1"/>
  <c r="G416" i="30"/>
  <c r="G36" i="44" s="1"/>
  <c r="D63" i="58"/>
  <c r="D13" i="68" s="1"/>
  <c r="D73" i="68" s="1"/>
  <c r="I62" i="57"/>
  <c r="M381" i="30"/>
  <c r="H33" i="30"/>
  <c r="H48" i="30" s="1"/>
  <c r="H30" i="30"/>
  <c r="H40" i="30" s="1"/>
  <c r="D33" i="30"/>
  <c r="D48" i="30" s="1"/>
  <c r="D30" i="30"/>
  <c r="D40" i="30" s="1"/>
  <c r="E33" i="30"/>
  <c r="E48" i="30" s="1"/>
  <c r="E30" i="30"/>
  <c r="L381" i="30"/>
  <c r="G33" i="30"/>
  <c r="G48" i="30" s="1"/>
  <c r="G30" i="30"/>
  <c r="G40" i="30" s="1"/>
  <c r="K381" i="30"/>
  <c r="F33" i="30"/>
  <c r="F48" i="30" s="1"/>
  <c r="F30" i="30"/>
  <c r="F40" i="30" s="1"/>
  <c r="H400" i="30"/>
  <c r="H20" i="44" s="1"/>
  <c r="H44" i="44" s="1"/>
  <c r="G407" i="30"/>
  <c r="G27" i="44" s="1"/>
  <c r="H401" i="30"/>
  <c r="H21" i="44" s="1"/>
  <c r="H45" i="44" s="1"/>
  <c r="G400" i="30"/>
  <c r="G20" i="44" s="1"/>
  <c r="G44" i="44" s="1"/>
  <c r="H407" i="30"/>
  <c r="H27" i="44" s="1"/>
  <c r="H408" i="30"/>
  <c r="H28" i="44" s="1"/>
  <c r="G401" i="30"/>
  <c r="G21" i="44" s="1"/>
  <c r="G45" i="44" s="1"/>
  <c r="G399" i="30"/>
  <c r="G19" i="44" s="1"/>
  <c r="G408" i="30"/>
  <c r="G28" i="44" s="1"/>
  <c r="K5" i="30"/>
  <c r="K18" i="30" s="1"/>
  <c r="F241" i="30" s="1"/>
  <c r="I381" i="30"/>
  <c r="H398" i="30"/>
  <c r="H18" i="44" s="1"/>
  <c r="H399" i="30"/>
  <c r="H19" i="44" s="1"/>
  <c r="H392" i="30"/>
  <c r="H12" i="44" s="1"/>
  <c r="H385" i="30"/>
  <c r="H5" i="44" s="1"/>
  <c r="G392" i="30"/>
  <c r="G12" i="44" s="1"/>
  <c r="G406" i="30"/>
  <c r="G26" i="44" s="1"/>
  <c r="G398" i="30"/>
  <c r="G18" i="44" s="1"/>
  <c r="G385" i="30"/>
  <c r="G5" i="44" s="1"/>
  <c r="J381" i="30"/>
  <c r="I367" i="30"/>
  <c r="Z34" i="27" s="1"/>
  <c r="P359" i="30"/>
  <c r="N359" i="30"/>
  <c r="R359" i="30"/>
  <c r="O359" i="30"/>
  <c r="Q359" i="30"/>
  <c r="D101" i="30"/>
  <c r="D173" i="30" s="1"/>
  <c r="D174" i="30" s="1"/>
  <c r="K129" i="30"/>
  <c r="M86" i="30"/>
  <c r="I78" i="30"/>
  <c r="H262" i="30"/>
  <c r="R349" i="30" s="1"/>
  <c r="H228" i="30"/>
  <c r="H229" i="30" s="1"/>
  <c r="I225" i="30" s="1"/>
  <c r="D348" i="30" s="1"/>
  <c r="D391" i="30" s="1"/>
  <c r="D11" i="44" s="1"/>
  <c r="H182" i="30"/>
  <c r="H183" i="30" s="1"/>
  <c r="O80" i="30"/>
  <c r="L326" i="30"/>
  <c r="O79" i="30"/>
  <c r="K84" i="30"/>
  <c r="L129" i="30"/>
  <c r="M81" i="30"/>
  <c r="K130" i="30"/>
  <c r="N84" i="30"/>
  <c r="L80" i="30"/>
  <c r="L78" i="30"/>
  <c r="L132" i="30"/>
  <c r="M85" i="30"/>
  <c r="M83" i="30"/>
  <c r="I81" i="30"/>
  <c r="M77" i="30"/>
  <c r="M82" i="30"/>
  <c r="M79" i="30"/>
  <c r="M78" i="30"/>
  <c r="I77" i="30"/>
  <c r="M84" i="30"/>
  <c r="I82" i="30"/>
  <c r="I79" i="30"/>
  <c r="I76" i="30"/>
  <c r="L287" i="30"/>
  <c r="L83" i="30"/>
  <c r="H80" i="30"/>
  <c r="M76" i="30"/>
  <c r="L84" i="30"/>
  <c r="H78" i="30"/>
  <c r="E262" i="30"/>
  <c r="O349" i="30" s="1"/>
  <c r="D254" i="30"/>
  <c r="N341" i="30" s="1"/>
  <c r="J78" i="30"/>
  <c r="N78" i="30"/>
  <c r="I8" i="30"/>
  <c r="M131" i="30"/>
  <c r="K82" i="30"/>
  <c r="K81" i="30"/>
  <c r="K78" i="30"/>
  <c r="G78" i="30"/>
  <c r="G77" i="30"/>
  <c r="G76" i="30"/>
  <c r="K80" i="30"/>
  <c r="K79" i="30"/>
  <c r="M133" i="30"/>
  <c r="M130" i="30"/>
  <c r="K83" i="30"/>
  <c r="K77" i="30"/>
  <c r="N134" i="30"/>
  <c r="O134" i="30" s="1"/>
  <c r="P134" i="30" s="1"/>
  <c r="Q134" i="30" s="1"/>
  <c r="R134" i="30" s="1"/>
  <c r="N129" i="30"/>
  <c r="N130" i="30"/>
  <c r="N131" i="30"/>
  <c r="N132" i="30"/>
  <c r="N133" i="30"/>
  <c r="J129" i="30"/>
  <c r="J130" i="30"/>
  <c r="M287" i="30"/>
  <c r="H360" i="30" s="1"/>
  <c r="H402" i="30" s="1"/>
  <c r="H22" i="44" s="1"/>
  <c r="Q163" i="30"/>
  <c r="N76" i="30"/>
  <c r="N79" i="30"/>
  <c r="N86" i="30"/>
  <c r="N80" i="30"/>
  <c r="N87" i="30"/>
  <c r="N77" i="30"/>
  <c r="N81" i="30"/>
  <c r="N82" i="30"/>
  <c r="N85" i="30"/>
  <c r="J76" i="30"/>
  <c r="J79" i="30"/>
  <c r="J80" i="30"/>
  <c r="J77" i="30"/>
  <c r="J81" i="30"/>
  <c r="J82" i="30"/>
  <c r="F76" i="30"/>
  <c r="F77" i="30"/>
  <c r="L79" i="30"/>
  <c r="L76" i="30"/>
  <c r="H76" i="30"/>
  <c r="O75" i="30"/>
  <c r="M132" i="30"/>
  <c r="L131" i="30"/>
  <c r="L85" i="30"/>
  <c r="L82" i="30"/>
  <c r="L81" i="30"/>
  <c r="I73" i="68" l="1"/>
  <c r="I13" i="68"/>
  <c r="H42" i="44"/>
  <c r="G42" i="44"/>
  <c r="G6" i="53" s="1"/>
  <c r="F41" i="58"/>
  <c r="F44" i="68" s="1"/>
  <c r="G41" i="58"/>
  <c r="G44" i="68" s="1"/>
  <c r="E41" i="58"/>
  <c r="E44" i="68" s="1"/>
  <c r="D41" i="58"/>
  <c r="D44" i="68" s="1"/>
  <c r="H41" i="58"/>
  <c r="H44" i="68" s="1"/>
  <c r="G9" i="53"/>
  <c r="H9" i="53"/>
  <c r="H8" i="53"/>
  <c r="G8" i="53"/>
  <c r="L414" i="30"/>
  <c r="L34" i="44" s="1"/>
  <c r="G82" i="44" s="1"/>
  <c r="L415" i="30"/>
  <c r="L35" i="44" s="1"/>
  <c r="G83" i="44" s="1"/>
  <c r="L413" i="30"/>
  <c r="L33" i="44" s="1"/>
  <c r="G81" i="44" s="1"/>
  <c r="K414" i="30"/>
  <c r="K34" i="44" s="1"/>
  <c r="F82" i="44" s="1"/>
  <c r="K415" i="30"/>
  <c r="K35" i="44" s="1"/>
  <c r="F83" i="44" s="1"/>
  <c r="K417" i="30"/>
  <c r="K37" i="44" s="1"/>
  <c r="F85" i="44" s="1"/>
  <c r="K413" i="30"/>
  <c r="K33" i="44" s="1"/>
  <c r="F81" i="44" s="1"/>
  <c r="K416" i="30"/>
  <c r="K36" i="44" s="1"/>
  <c r="F84" i="44" s="1"/>
  <c r="I416" i="30"/>
  <c r="I36" i="44" s="1"/>
  <c r="D84" i="44" s="1"/>
  <c r="I415" i="30"/>
  <c r="I35" i="44" s="1"/>
  <c r="D83" i="44" s="1"/>
  <c r="I417" i="30"/>
  <c r="I37" i="44" s="1"/>
  <c r="D85" i="44" s="1"/>
  <c r="I413" i="30"/>
  <c r="I33" i="44" s="1"/>
  <c r="D81" i="44" s="1"/>
  <c r="I414" i="30"/>
  <c r="I34" i="44" s="1"/>
  <c r="D82" i="44" s="1"/>
  <c r="J417" i="30"/>
  <c r="J37" i="44" s="1"/>
  <c r="E85" i="44" s="1"/>
  <c r="J413" i="30"/>
  <c r="J33" i="44" s="1"/>
  <c r="E81" i="44" s="1"/>
  <c r="J414" i="30"/>
  <c r="J34" i="44" s="1"/>
  <c r="E82" i="44" s="1"/>
  <c r="J415" i="30"/>
  <c r="J35" i="44" s="1"/>
  <c r="E83" i="44" s="1"/>
  <c r="J416" i="30"/>
  <c r="J36" i="44" s="1"/>
  <c r="E84" i="44" s="1"/>
  <c r="M414" i="30"/>
  <c r="M34" i="44" s="1"/>
  <c r="H82" i="44" s="1"/>
  <c r="M415" i="30"/>
  <c r="M35" i="44" s="1"/>
  <c r="H83" i="44" s="1"/>
  <c r="R161" i="30"/>
  <c r="M373" i="30" s="1"/>
  <c r="M413" i="30" s="1"/>
  <c r="M33" i="44" s="1"/>
  <c r="H81" i="44" s="1"/>
  <c r="L376" i="30"/>
  <c r="L416" i="30" s="1"/>
  <c r="L36" i="44" s="1"/>
  <c r="G84" i="44" s="1"/>
  <c r="I401" i="30"/>
  <c r="I21" i="44" s="1"/>
  <c r="I45" i="44" s="1"/>
  <c r="L400" i="30"/>
  <c r="L20" i="44" s="1"/>
  <c r="L44" i="44" s="1"/>
  <c r="K407" i="30"/>
  <c r="K27" i="44" s="1"/>
  <c r="F75" i="44" s="1"/>
  <c r="J400" i="30"/>
  <c r="J20" i="44" s="1"/>
  <c r="J44" i="44" s="1"/>
  <c r="M400" i="30"/>
  <c r="M20" i="44" s="1"/>
  <c r="M44" i="44" s="1"/>
  <c r="I63" i="58"/>
  <c r="K401" i="30"/>
  <c r="K21" i="44" s="1"/>
  <c r="K45" i="44" s="1"/>
  <c r="K400" i="30"/>
  <c r="K20" i="44" s="1"/>
  <c r="K44" i="44" s="1"/>
  <c r="L401" i="30"/>
  <c r="L21" i="44" s="1"/>
  <c r="L45" i="44" s="1"/>
  <c r="M401" i="30"/>
  <c r="M21" i="44" s="1"/>
  <c r="M45" i="44" s="1"/>
  <c r="I30" i="30"/>
  <c r="E40" i="30"/>
  <c r="I33" i="30"/>
  <c r="L407" i="30"/>
  <c r="L27" i="44" s="1"/>
  <c r="G75" i="44" s="1"/>
  <c r="J8" i="30"/>
  <c r="H6" i="53"/>
  <c r="J401" i="30"/>
  <c r="J21" i="44" s="1"/>
  <c r="J45" i="44" s="1"/>
  <c r="I407" i="30"/>
  <c r="I27" i="44" s="1"/>
  <c r="D75" i="44" s="1"/>
  <c r="T311" i="30"/>
  <c r="T312" i="30"/>
  <c r="U312" i="30" s="1"/>
  <c r="T313" i="30"/>
  <c r="U313" i="30" s="1"/>
  <c r="V313" i="30" s="1"/>
  <c r="L5" i="30"/>
  <c r="I408" i="30"/>
  <c r="J407" i="30"/>
  <c r="J27" i="44" s="1"/>
  <c r="E75" i="44" s="1"/>
  <c r="I400" i="30"/>
  <c r="I20" i="44" s="1"/>
  <c r="I44" i="44" s="1"/>
  <c r="J367" i="30"/>
  <c r="M323" i="30"/>
  <c r="G368" i="30"/>
  <c r="G409" i="30" s="1"/>
  <c r="G29" i="44" s="1"/>
  <c r="K367" i="30"/>
  <c r="L367" i="30"/>
  <c r="L288" i="30"/>
  <c r="G361" i="30" s="1"/>
  <c r="G403" i="30" s="1"/>
  <c r="G23" i="44" s="1"/>
  <c r="G360" i="30"/>
  <c r="G402" i="30" s="1"/>
  <c r="G22" i="44" s="1"/>
  <c r="K101" i="30"/>
  <c r="K173" i="30" s="1"/>
  <c r="F101" i="30"/>
  <c r="J101" i="30"/>
  <c r="J173" i="30" s="1"/>
  <c r="E101" i="30"/>
  <c r="L101" i="30"/>
  <c r="L173" i="30" s="1"/>
  <c r="M101" i="30"/>
  <c r="M173" i="30" s="1"/>
  <c r="G101" i="30"/>
  <c r="I101" i="30"/>
  <c r="I173" i="30" s="1"/>
  <c r="H101" i="30"/>
  <c r="J148" i="30"/>
  <c r="J182" i="30" s="1"/>
  <c r="H230" i="30"/>
  <c r="L327" i="30"/>
  <c r="G369" i="30" s="1"/>
  <c r="G410" i="30" s="1"/>
  <c r="G30" i="44" s="1"/>
  <c r="D175" i="30"/>
  <c r="D220" i="30"/>
  <c r="D221" i="30" s="1"/>
  <c r="O132" i="30"/>
  <c r="P132" i="30" s="1"/>
  <c r="Q132" i="30" s="1"/>
  <c r="R132" i="30" s="1"/>
  <c r="O84" i="30"/>
  <c r="P84" i="30" s="1"/>
  <c r="O133" i="30"/>
  <c r="P133" i="30" s="1"/>
  <c r="Q133" i="30" s="1"/>
  <c r="R133" i="30" s="1"/>
  <c r="O83" i="30"/>
  <c r="P83" i="30" s="1"/>
  <c r="Q83" i="30" s="1"/>
  <c r="R83" i="30" s="1"/>
  <c r="O129" i="30"/>
  <c r="P129" i="30" s="1"/>
  <c r="L148" i="30"/>
  <c r="L182" i="30" s="1"/>
  <c r="O78" i="30"/>
  <c r="O77" i="30"/>
  <c r="O131" i="30"/>
  <c r="P131" i="30" s="1"/>
  <c r="Q131" i="30" s="1"/>
  <c r="R131" i="30" s="1"/>
  <c r="P80" i="30"/>
  <c r="O130" i="30"/>
  <c r="P130" i="30" s="1"/>
  <c r="Q130" i="30" s="1"/>
  <c r="R130" i="30" s="1"/>
  <c r="P81" i="30"/>
  <c r="P79" i="30"/>
  <c r="K148" i="30"/>
  <c r="K182" i="30" s="1"/>
  <c r="M8" i="30"/>
  <c r="M9" i="30"/>
  <c r="P381" i="30" s="1"/>
  <c r="K9" i="30"/>
  <c r="N381" i="30" s="1"/>
  <c r="K8" i="30"/>
  <c r="N9" i="30"/>
  <c r="Q381" i="30" s="1"/>
  <c r="N8" i="30"/>
  <c r="O9" i="30"/>
  <c r="R381" i="30" s="1"/>
  <c r="O8" i="30"/>
  <c r="L8" i="30"/>
  <c r="L9" i="30"/>
  <c r="O381" i="30" s="1"/>
  <c r="O76" i="30"/>
  <c r="Q164" i="30"/>
  <c r="L377" i="30" s="1"/>
  <c r="L417" i="30" s="1"/>
  <c r="L37" i="44" s="1"/>
  <c r="G85" i="44" s="1"/>
  <c r="I148" i="30"/>
  <c r="O87" i="30"/>
  <c r="P87" i="30" s="1"/>
  <c r="N283" i="30"/>
  <c r="I356" i="30" s="1"/>
  <c r="M288" i="30"/>
  <c r="H361" i="30" s="1"/>
  <c r="H403" i="30" s="1"/>
  <c r="H23" i="44" s="1"/>
  <c r="O86" i="30"/>
  <c r="M148" i="30"/>
  <c r="M182" i="30" s="1"/>
  <c r="O85" i="30"/>
  <c r="P85" i="30" s="1"/>
  <c r="I179" i="30"/>
  <c r="H184" i="30"/>
  <c r="O82" i="30"/>
  <c r="I44" i="68" l="1"/>
  <c r="E425" i="30"/>
  <c r="F425" i="30"/>
  <c r="H425" i="30"/>
  <c r="D425" i="30"/>
  <c r="G425" i="30"/>
  <c r="I41" i="58"/>
  <c r="G69" i="44"/>
  <c r="G92" i="44" s="1"/>
  <c r="L9" i="53"/>
  <c r="F68" i="44"/>
  <c r="F91" i="44" s="1"/>
  <c r="K8" i="53"/>
  <c r="H68" i="44"/>
  <c r="H91" i="44" s="1"/>
  <c r="M8" i="53"/>
  <c r="I9" i="53"/>
  <c r="G68" i="44"/>
  <c r="G91" i="44" s="1"/>
  <c r="L8" i="53"/>
  <c r="D69" i="44"/>
  <c r="D92" i="44" s="1"/>
  <c r="F69" i="44"/>
  <c r="F92" i="44" s="1"/>
  <c r="K9" i="53"/>
  <c r="E68" i="44"/>
  <c r="E91" i="44" s="1"/>
  <c r="J8" i="53"/>
  <c r="M9" i="53"/>
  <c r="R417" i="30"/>
  <c r="R37" i="44" s="1"/>
  <c r="R413" i="30"/>
  <c r="R33" i="44" s="1"/>
  <c r="R414" i="30"/>
  <c r="R34" i="44" s="1"/>
  <c r="R415" i="30"/>
  <c r="R35" i="44" s="1"/>
  <c r="R416" i="30"/>
  <c r="R36" i="44" s="1"/>
  <c r="N417" i="30"/>
  <c r="N37" i="44" s="1"/>
  <c r="I85" i="44" s="1"/>
  <c r="N413" i="30"/>
  <c r="N33" i="44" s="1"/>
  <c r="I81" i="44" s="1"/>
  <c r="N416" i="30"/>
  <c r="N36" i="44" s="1"/>
  <c r="I84" i="44" s="1"/>
  <c r="N414" i="30"/>
  <c r="N34" i="44" s="1"/>
  <c r="I82" i="44" s="1"/>
  <c r="N415" i="30"/>
  <c r="N35" i="44" s="1"/>
  <c r="I83" i="44" s="1"/>
  <c r="O414" i="30"/>
  <c r="O34" i="44" s="1"/>
  <c r="J82" i="44" s="1"/>
  <c r="O413" i="30"/>
  <c r="O33" i="44" s="1"/>
  <c r="J81" i="44" s="1"/>
  <c r="O415" i="30"/>
  <c r="O35" i="44" s="1"/>
  <c r="J83" i="44" s="1"/>
  <c r="O416" i="30"/>
  <c r="O36" i="44" s="1"/>
  <c r="J84" i="44" s="1"/>
  <c r="O417" i="30"/>
  <c r="O37" i="44" s="1"/>
  <c r="J85" i="44" s="1"/>
  <c r="P415" i="30"/>
  <c r="P35" i="44" s="1"/>
  <c r="P416" i="30"/>
  <c r="P36" i="44" s="1"/>
  <c r="P417" i="30"/>
  <c r="P37" i="44" s="1"/>
  <c r="P413" i="30"/>
  <c r="P33" i="44" s="1"/>
  <c r="P414" i="30"/>
  <c r="P34" i="44" s="1"/>
  <c r="Q416" i="30"/>
  <c r="Q36" i="44" s="1"/>
  <c r="Q417" i="30"/>
  <c r="Q37" i="44" s="1"/>
  <c r="Q413" i="30"/>
  <c r="Q33" i="44" s="1"/>
  <c r="Q415" i="30"/>
  <c r="Q35" i="44" s="1"/>
  <c r="Q414" i="30"/>
  <c r="Q34" i="44" s="1"/>
  <c r="P401" i="30"/>
  <c r="P21" i="44" s="1"/>
  <c r="P45" i="44" s="1"/>
  <c r="Q401" i="30"/>
  <c r="Q21" i="44" s="1"/>
  <c r="Q45" i="44" s="1"/>
  <c r="R385" i="30"/>
  <c r="R5" i="44" s="1"/>
  <c r="N392" i="30"/>
  <c r="N12" i="44" s="1"/>
  <c r="I60" i="44" s="1"/>
  <c r="AE17" i="27" s="1"/>
  <c r="O385" i="30"/>
  <c r="O5" i="44" s="1"/>
  <c r="H69" i="44"/>
  <c r="H92" i="44" s="1"/>
  <c r="L408" i="30"/>
  <c r="L28" i="44" s="1"/>
  <c r="G76" i="44" s="1"/>
  <c r="AC34" i="27"/>
  <c r="J408" i="30"/>
  <c r="J28" i="44" s="1"/>
  <c r="E76" i="44" s="1"/>
  <c r="AA34" i="27"/>
  <c r="K408" i="30"/>
  <c r="F424" i="30" s="1"/>
  <c r="AB34" i="27"/>
  <c r="I398" i="30"/>
  <c r="I18" i="44" s="1"/>
  <c r="D66" i="44" s="1"/>
  <c r="Z40" i="27"/>
  <c r="E69" i="44"/>
  <c r="E92" i="44" s="1"/>
  <c r="J9" i="53"/>
  <c r="D68" i="44"/>
  <c r="D91" i="44" s="1"/>
  <c r="I8" i="53"/>
  <c r="M5" i="30"/>
  <c r="D424" i="30"/>
  <c r="I28" i="44"/>
  <c r="D76" i="44" s="1"/>
  <c r="R401" i="30"/>
  <c r="R21" i="44" s="1"/>
  <c r="R45" i="44" s="1"/>
  <c r="P392" i="30"/>
  <c r="P12" i="44" s="1"/>
  <c r="P385" i="30"/>
  <c r="P5" i="44" s="1"/>
  <c r="N401" i="30"/>
  <c r="N21" i="44" s="1"/>
  <c r="N45" i="44" s="1"/>
  <c r="O401" i="30"/>
  <c r="O21" i="44" s="1"/>
  <c r="O45" i="44" s="1"/>
  <c r="R392" i="30"/>
  <c r="R12" i="44" s="1"/>
  <c r="Q385" i="30"/>
  <c r="Q5" i="44" s="1"/>
  <c r="Q392" i="30"/>
  <c r="Q12" i="44" s="1"/>
  <c r="O392" i="30"/>
  <c r="O12" i="44" s="1"/>
  <c r="J60" i="44" s="1"/>
  <c r="AF17" i="27" s="1"/>
  <c r="N385" i="30"/>
  <c r="M326" i="30"/>
  <c r="H365" i="30"/>
  <c r="H406" i="30" s="1"/>
  <c r="H26" i="44" s="1"/>
  <c r="J228" i="30"/>
  <c r="E350" i="30" s="1"/>
  <c r="E393" i="30" s="1"/>
  <c r="E13" i="44" s="1"/>
  <c r="F220" i="30"/>
  <c r="F173" i="30"/>
  <c r="I228" i="30"/>
  <c r="I182" i="30"/>
  <c r="I183" i="30" s="1"/>
  <c r="J179" i="30" s="1"/>
  <c r="J183" i="30" s="1"/>
  <c r="E220" i="30"/>
  <c r="E173" i="30"/>
  <c r="H220" i="30"/>
  <c r="H173" i="30"/>
  <c r="G220" i="30"/>
  <c r="G173" i="30"/>
  <c r="K228" i="30"/>
  <c r="F350" i="30" s="1"/>
  <c r="F393" i="30" s="1"/>
  <c r="F13" i="44" s="1"/>
  <c r="M228" i="30"/>
  <c r="H350" i="30" s="1"/>
  <c r="H393" i="30" s="1"/>
  <c r="H13" i="44" s="1"/>
  <c r="L228" i="30"/>
  <c r="G350" i="30" s="1"/>
  <c r="G393" i="30" s="1"/>
  <c r="G13" i="44" s="1"/>
  <c r="E217" i="30"/>
  <c r="D222" i="30"/>
  <c r="E170" i="30"/>
  <c r="M220" i="30"/>
  <c r="H342" i="30" s="1"/>
  <c r="H386" i="30" s="1"/>
  <c r="H6" i="44" s="1"/>
  <c r="I220" i="30"/>
  <c r="D342" i="30" s="1"/>
  <c r="D386" i="30" s="1"/>
  <c r="D6" i="44" s="1"/>
  <c r="J220" i="30"/>
  <c r="E342" i="30" s="1"/>
  <c r="E386" i="30" s="1"/>
  <c r="E6" i="44" s="1"/>
  <c r="K220" i="30"/>
  <c r="F342" i="30" s="1"/>
  <c r="F386" i="30" s="1"/>
  <c r="F6" i="44" s="1"/>
  <c r="L220" i="30"/>
  <c r="G342" i="30" s="1"/>
  <c r="G386" i="30" s="1"/>
  <c r="G6" i="44" s="1"/>
  <c r="G43" i="44" s="1"/>
  <c r="I195" i="30"/>
  <c r="Q84" i="30"/>
  <c r="R84" i="30" s="1"/>
  <c r="I194" i="30"/>
  <c r="Q87" i="30"/>
  <c r="R87" i="30" s="1"/>
  <c r="Q85" i="30"/>
  <c r="R85" i="30" s="1"/>
  <c r="N179" i="30"/>
  <c r="P82" i="30"/>
  <c r="Q129" i="30"/>
  <c r="P86" i="30"/>
  <c r="R163" i="30"/>
  <c r="K84" i="44" l="1"/>
  <c r="F43" i="44"/>
  <c r="K82" i="44"/>
  <c r="K83" i="44"/>
  <c r="K81" i="44"/>
  <c r="K85" i="44"/>
  <c r="H43" i="44"/>
  <c r="H7" i="53" s="1"/>
  <c r="E43" i="44"/>
  <c r="E7" i="53" s="1"/>
  <c r="J53" i="44"/>
  <c r="M425" i="30"/>
  <c r="J425" i="30"/>
  <c r="I425" i="30"/>
  <c r="F7" i="53"/>
  <c r="L425" i="30"/>
  <c r="K425" i="30"/>
  <c r="G7" i="53"/>
  <c r="R9" i="53"/>
  <c r="Q9" i="53"/>
  <c r="P9" i="53"/>
  <c r="R164" i="30"/>
  <c r="M377" i="30" s="1"/>
  <c r="M417" i="30" s="1"/>
  <c r="M37" i="44" s="1"/>
  <c r="H85" i="44" s="1"/>
  <c r="M376" i="30"/>
  <c r="M416" i="30" s="1"/>
  <c r="M36" i="44" s="1"/>
  <c r="H84" i="44" s="1"/>
  <c r="G424" i="30"/>
  <c r="E424" i="30"/>
  <c r="K28" i="44"/>
  <c r="F76" i="44" s="1"/>
  <c r="I69" i="44"/>
  <c r="I92" i="44" s="1"/>
  <c r="N9" i="53"/>
  <c r="J69" i="44"/>
  <c r="J92" i="44" s="1"/>
  <c r="O9" i="53"/>
  <c r="N5" i="44"/>
  <c r="N5" i="30"/>
  <c r="L82" i="44" s="1"/>
  <c r="K69" i="44"/>
  <c r="K92" i="44" s="1"/>
  <c r="K60" i="44"/>
  <c r="AG17" i="27" s="1"/>
  <c r="K53" i="44"/>
  <c r="N323" i="30"/>
  <c r="H368" i="30"/>
  <c r="H409" i="30" s="1"/>
  <c r="H29" i="44" s="1"/>
  <c r="M327" i="30"/>
  <c r="H369" i="30" s="1"/>
  <c r="H410" i="30" s="1"/>
  <c r="H30" i="44" s="1"/>
  <c r="I229" i="30"/>
  <c r="J225" i="30" s="1"/>
  <c r="D350" i="30"/>
  <c r="D393" i="30" s="1"/>
  <c r="D13" i="44" s="1"/>
  <c r="D43" i="44" s="1"/>
  <c r="E174" i="30"/>
  <c r="F170" i="30" s="1"/>
  <c r="E221" i="30"/>
  <c r="F217" i="30" s="1"/>
  <c r="I184" i="30"/>
  <c r="R129" i="30"/>
  <c r="Q86" i="30"/>
  <c r="R86" i="30" s="1"/>
  <c r="Q82" i="30"/>
  <c r="K179" i="30"/>
  <c r="K183" i="30" s="1"/>
  <c r="L85" i="44" l="1"/>
  <c r="L83" i="44"/>
  <c r="L84" i="44"/>
  <c r="AF25" i="27"/>
  <c r="L81" i="44"/>
  <c r="AG25" i="27"/>
  <c r="D7" i="53"/>
  <c r="AG43" i="27"/>
  <c r="AR43" i="27" s="1"/>
  <c r="AF43" i="27"/>
  <c r="AQ43" i="27" s="1"/>
  <c r="AE43" i="27"/>
  <c r="AP43" i="27" s="1"/>
  <c r="I53" i="44"/>
  <c r="O5" i="30"/>
  <c r="L60" i="44"/>
  <c r="AH17" i="27" s="1"/>
  <c r="L69" i="44"/>
  <c r="L92" i="44" s="1"/>
  <c r="L53" i="44"/>
  <c r="I365" i="30"/>
  <c r="N326" i="30"/>
  <c r="N327" i="30" s="1"/>
  <c r="I369" i="30" s="1"/>
  <c r="J229" i="30"/>
  <c r="J230" i="30" s="1"/>
  <c r="E352" i="30" s="1"/>
  <c r="E395" i="30" s="1"/>
  <c r="E15" i="44" s="1"/>
  <c r="E348" i="30"/>
  <c r="E391" i="30" s="1"/>
  <c r="E11" i="44" s="1"/>
  <c r="I230" i="30"/>
  <c r="D352" i="30" s="1"/>
  <c r="D395" i="30" s="1"/>
  <c r="D15" i="44" s="1"/>
  <c r="D351" i="30"/>
  <c r="D394" i="30" s="1"/>
  <c r="D14" i="44" s="1"/>
  <c r="E175" i="30"/>
  <c r="E222" i="30"/>
  <c r="F174" i="30"/>
  <c r="F175" i="30" s="1"/>
  <c r="F221" i="30"/>
  <c r="G217" i="30" s="1"/>
  <c r="J184" i="30"/>
  <c r="L179" i="30"/>
  <c r="L183" i="30" s="1"/>
  <c r="R82" i="30"/>
  <c r="J8" i="27"/>
  <c r="I6" i="27"/>
  <c r="I8" i="27" s="1"/>
  <c r="H6" i="27"/>
  <c r="H8" i="27" s="1"/>
  <c r="Q43" i="27" s="1"/>
  <c r="AM43" i="27" s="1"/>
  <c r="G6" i="27"/>
  <c r="G8" i="27" s="1"/>
  <c r="P43" i="27" s="1"/>
  <c r="AL43" i="27" s="1"/>
  <c r="F6" i="27"/>
  <c r="F8" i="27" s="1"/>
  <c r="O43" i="27" s="1"/>
  <c r="AK43" i="27" s="1"/>
  <c r="E6" i="27"/>
  <c r="E8" i="27" s="1"/>
  <c r="D6" i="27"/>
  <c r="D8" i="27" s="1"/>
  <c r="I3" i="27"/>
  <c r="H3" i="27"/>
  <c r="H5" i="27" s="1"/>
  <c r="G3" i="27"/>
  <c r="G5" i="27" s="1"/>
  <c r="F3" i="27"/>
  <c r="F5" i="27" s="1"/>
  <c r="E3" i="27"/>
  <c r="E5" i="27" s="1"/>
  <c r="D3" i="27"/>
  <c r="D5" i="27" s="1"/>
  <c r="X309" i="30"/>
  <c r="W309" i="30"/>
  <c r="V309" i="30"/>
  <c r="U309" i="30"/>
  <c r="T309" i="30"/>
  <c r="S309" i="30"/>
  <c r="X126" i="30"/>
  <c r="W126" i="30"/>
  <c r="V126" i="30"/>
  <c r="U126" i="30"/>
  <c r="T126" i="30"/>
  <c r="S126" i="30"/>
  <c r="X72" i="30"/>
  <c r="W72" i="30"/>
  <c r="V72" i="30"/>
  <c r="U72" i="30"/>
  <c r="T72" i="30"/>
  <c r="T93" i="30" s="1"/>
  <c r="D105" i="30" s="1"/>
  <c r="S72" i="30"/>
  <c r="M84" i="44" l="1"/>
  <c r="M81" i="44"/>
  <c r="M85" i="44"/>
  <c r="M83" i="44"/>
  <c r="M82" i="44"/>
  <c r="AH25" i="27"/>
  <c r="AE25" i="27"/>
  <c r="I410" i="30"/>
  <c r="I30" i="44" s="1"/>
  <c r="Z36" i="27"/>
  <c r="I406" i="30"/>
  <c r="I26" i="44" s="1"/>
  <c r="D74" i="44" s="1"/>
  <c r="Z32" i="27"/>
  <c r="AH43" i="27"/>
  <c r="AS43" i="27" s="1"/>
  <c r="M60" i="44"/>
  <c r="AI17" i="27" s="1"/>
  <c r="M69" i="44"/>
  <c r="M92" i="44" s="1"/>
  <c r="M53" i="44"/>
  <c r="O323" i="30"/>
  <c r="I368" i="30"/>
  <c r="K225" i="30"/>
  <c r="E351" i="30"/>
  <c r="E394" i="30" s="1"/>
  <c r="E14" i="44" s="1"/>
  <c r="G170" i="30"/>
  <c r="F222" i="30"/>
  <c r="G221" i="30"/>
  <c r="H217" i="30" s="1"/>
  <c r="I5" i="27"/>
  <c r="L5" i="27"/>
  <c r="N5" i="27"/>
  <c r="W142" i="30"/>
  <c r="W140" i="30"/>
  <c r="W143" i="30"/>
  <c r="W141" i="30"/>
  <c r="V141" i="30"/>
  <c r="V140" i="30"/>
  <c r="V142" i="30"/>
  <c r="T140" i="30"/>
  <c r="D154" i="30" s="1"/>
  <c r="X144" i="30"/>
  <c r="X142" i="30"/>
  <c r="X143" i="30"/>
  <c r="X140" i="30"/>
  <c r="X141" i="30"/>
  <c r="U140" i="30"/>
  <c r="U141" i="30"/>
  <c r="K184" i="30"/>
  <c r="M179" i="30"/>
  <c r="M183" i="30" s="1"/>
  <c r="U93" i="30"/>
  <c r="X97" i="30"/>
  <c r="V95" i="30"/>
  <c r="W95" i="30" s="1"/>
  <c r="W96" i="30"/>
  <c r="U94" i="30"/>
  <c r="V94" i="30" s="1"/>
  <c r="S134" i="30"/>
  <c r="S131" i="30"/>
  <c r="S132" i="30"/>
  <c r="AI25" i="27" l="1"/>
  <c r="I409" i="30"/>
  <c r="I29" i="44" s="1"/>
  <c r="D77" i="44" s="1"/>
  <c r="Z35" i="27"/>
  <c r="D78" i="44"/>
  <c r="B40" i="53"/>
  <c r="AI43" i="27"/>
  <c r="AT43" i="27" s="1"/>
  <c r="J365" i="30"/>
  <c r="O326" i="30"/>
  <c r="O327" i="30" s="1"/>
  <c r="J369" i="30" s="1"/>
  <c r="F348" i="30"/>
  <c r="F391" i="30" s="1"/>
  <c r="F11" i="44" s="1"/>
  <c r="K229" i="30"/>
  <c r="E154" i="30"/>
  <c r="H154" i="30"/>
  <c r="F154" i="30"/>
  <c r="G154" i="30"/>
  <c r="V93" i="30"/>
  <c r="F105" i="30" s="1"/>
  <c r="E105" i="30"/>
  <c r="G174" i="30"/>
  <c r="H170" i="30" s="1"/>
  <c r="G222" i="30"/>
  <c r="H221" i="30"/>
  <c r="I217" i="30" s="1"/>
  <c r="D340" i="30" s="1"/>
  <c r="D384" i="30" s="1"/>
  <c r="D4" i="44" s="1"/>
  <c r="D41" i="44" s="1"/>
  <c r="N9" i="27"/>
  <c r="J5" i="27"/>
  <c r="L9" i="27"/>
  <c r="T134" i="30"/>
  <c r="U134" i="30" s="1"/>
  <c r="V134" i="30" s="1"/>
  <c r="W134" i="30" s="1"/>
  <c r="X134" i="30" s="1"/>
  <c r="T132" i="30"/>
  <c r="U132" i="30" s="1"/>
  <c r="V132" i="30" s="1"/>
  <c r="W132" i="30" s="1"/>
  <c r="X132" i="30" s="1"/>
  <c r="T131" i="30"/>
  <c r="U131" i="30" s="1"/>
  <c r="V131" i="30" s="1"/>
  <c r="W131" i="30" s="1"/>
  <c r="X131" i="30" s="1"/>
  <c r="L184" i="30"/>
  <c r="M184" i="30"/>
  <c r="S130" i="30"/>
  <c r="S133" i="30"/>
  <c r="W94" i="30"/>
  <c r="X94" i="30" s="1"/>
  <c r="X96" i="30"/>
  <c r="X95" i="30"/>
  <c r="O9" i="27"/>
  <c r="O5" i="27"/>
  <c r="M5" i="27"/>
  <c r="M9" i="27"/>
  <c r="K9" i="27"/>
  <c r="K5" i="27"/>
  <c r="D5" i="53" l="1"/>
  <c r="J406" i="30"/>
  <c r="J26" i="44" s="1"/>
  <c r="E74" i="44" s="1"/>
  <c r="AA32" i="27"/>
  <c r="J410" i="30"/>
  <c r="J30" i="44" s="1"/>
  <c r="AA36" i="27"/>
  <c r="P323" i="30"/>
  <c r="J368" i="30"/>
  <c r="L225" i="30"/>
  <c r="F351" i="30"/>
  <c r="F394" i="30" s="1"/>
  <c r="F14" i="44" s="1"/>
  <c r="K230" i="30"/>
  <c r="F352" i="30" s="1"/>
  <c r="F395" i="30" s="1"/>
  <c r="F15" i="44" s="1"/>
  <c r="W93" i="30"/>
  <c r="G105" i="30" s="1"/>
  <c r="G175" i="30"/>
  <c r="H174" i="30"/>
  <c r="I170" i="30" s="1"/>
  <c r="N170" i="30"/>
  <c r="H222" i="30"/>
  <c r="I221" i="30"/>
  <c r="T133" i="30"/>
  <c r="U133" i="30" s="1"/>
  <c r="V133" i="30" s="1"/>
  <c r="W133" i="30" s="1"/>
  <c r="X133" i="30" s="1"/>
  <c r="T130" i="30"/>
  <c r="U130" i="30" s="1"/>
  <c r="V130" i="30" s="1"/>
  <c r="W130" i="30" s="1"/>
  <c r="X130" i="30" s="1"/>
  <c r="J409" i="30" l="1"/>
  <c r="J29" i="44" s="1"/>
  <c r="E77" i="44" s="1"/>
  <c r="AA35" i="27"/>
  <c r="E78" i="44"/>
  <c r="C40" i="53"/>
  <c r="K365" i="30"/>
  <c r="P326" i="30"/>
  <c r="G348" i="30"/>
  <c r="G391" i="30" s="1"/>
  <c r="G11" i="44" s="1"/>
  <c r="L229" i="30"/>
  <c r="L230" i="30" s="1"/>
  <c r="G352" i="30" s="1"/>
  <c r="G395" i="30" s="1"/>
  <c r="G15" i="44" s="1"/>
  <c r="J217" i="30"/>
  <c r="E340" i="30" s="1"/>
  <c r="E384" i="30" s="1"/>
  <c r="E4" i="44" s="1"/>
  <c r="E41" i="44" s="1"/>
  <c r="D343" i="30"/>
  <c r="D387" i="30" s="1"/>
  <c r="D7" i="44" s="1"/>
  <c r="D46" i="44" s="1"/>
  <c r="X93" i="30"/>
  <c r="H105" i="30" s="1"/>
  <c r="H175" i="30"/>
  <c r="I174" i="30"/>
  <c r="J170" i="30" s="1"/>
  <c r="I222" i="30"/>
  <c r="D344" i="30" s="1"/>
  <c r="D388" i="30" s="1"/>
  <c r="D8" i="44" s="1"/>
  <c r="D47" i="44" s="1"/>
  <c r="D11" i="53" l="1"/>
  <c r="D10" i="53"/>
  <c r="E5" i="53"/>
  <c r="K406" i="30"/>
  <c r="K26" i="44" s="1"/>
  <c r="F74" i="44" s="1"/>
  <c r="AB32" i="27"/>
  <c r="J221" i="30"/>
  <c r="K217" i="30" s="1"/>
  <c r="F340" i="30" s="1"/>
  <c r="F384" i="30" s="1"/>
  <c r="F4" i="44" s="1"/>
  <c r="F41" i="44" s="1"/>
  <c r="Q323" i="30"/>
  <c r="K368" i="30"/>
  <c r="P327" i="30"/>
  <c r="K369" i="30" s="1"/>
  <c r="M225" i="30"/>
  <c r="G351" i="30"/>
  <c r="G394" i="30" s="1"/>
  <c r="G14" i="44" s="1"/>
  <c r="I175" i="30"/>
  <c r="J174" i="30"/>
  <c r="K170" i="30" s="1"/>
  <c r="S84" i="30"/>
  <c r="S83" i="30"/>
  <c r="S85" i="30"/>
  <c r="F5" i="53" l="1"/>
  <c r="J222" i="30"/>
  <c r="E344" i="30" s="1"/>
  <c r="E388" i="30" s="1"/>
  <c r="E8" i="44" s="1"/>
  <c r="E47" i="44" s="1"/>
  <c r="K410" i="30"/>
  <c r="K30" i="44" s="1"/>
  <c r="AB36" i="27"/>
  <c r="K409" i="30"/>
  <c r="K29" i="44" s="1"/>
  <c r="F77" i="44" s="1"/>
  <c r="AB35" i="27"/>
  <c r="E343" i="30"/>
  <c r="E387" i="30" s="1"/>
  <c r="E7" i="44" s="1"/>
  <c r="E46" i="44" s="1"/>
  <c r="K221" i="30"/>
  <c r="K222" i="30" s="1"/>
  <c r="F344" i="30" s="1"/>
  <c r="F388" i="30" s="1"/>
  <c r="F8" i="44" s="1"/>
  <c r="F47" i="44" s="1"/>
  <c r="L365" i="30"/>
  <c r="Q326" i="30"/>
  <c r="Q327" i="30" s="1"/>
  <c r="L369" i="30" s="1"/>
  <c r="H348" i="30"/>
  <c r="H391" i="30" s="1"/>
  <c r="H11" i="44" s="1"/>
  <c r="M229" i="30"/>
  <c r="M230" i="30" s="1"/>
  <c r="H352" i="30" s="1"/>
  <c r="H395" i="30" s="1"/>
  <c r="H15" i="44" s="1"/>
  <c r="J175" i="30"/>
  <c r="K174" i="30"/>
  <c r="L170" i="30" s="1"/>
  <c r="S86" i="30"/>
  <c r="S82" i="30"/>
  <c r="S129" i="30"/>
  <c r="S87" i="30"/>
  <c r="E10" i="53" l="1"/>
  <c r="E11" i="53"/>
  <c r="F11" i="53"/>
  <c r="L406" i="30"/>
  <c r="L26" i="44" s="1"/>
  <c r="G74" i="44" s="1"/>
  <c r="AC32" i="27"/>
  <c r="L410" i="30"/>
  <c r="L30" i="44" s="1"/>
  <c r="AC36" i="27"/>
  <c r="F78" i="44"/>
  <c r="D40" i="53"/>
  <c r="L217" i="30"/>
  <c r="G340" i="30" s="1"/>
  <c r="G384" i="30" s="1"/>
  <c r="G4" i="44" s="1"/>
  <c r="G41" i="44" s="1"/>
  <c r="F343" i="30"/>
  <c r="F387" i="30" s="1"/>
  <c r="F7" i="44" s="1"/>
  <c r="F46" i="44" s="1"/>
  <c r="R323" i="30"/>
  <c r="L368" i="30"/>
  <c r="N225" i="30"/>
  <c r="H351" i="30"/>
  <c r="H394" i="30" s="1"/>
  <c r="H14" i="44" s="1"/>
  <c r="L174" i="30"/>
  <c r="M170" i="30" s="1"/>
  <c r="K175" i="30"/>
  <c r="T129" i="30"/>
  <c r="F10" i="53" l="1"/>
  <c r="G5" i="53"/>
  <c r="L221" i="30"/>
  <c r="G343" i="30" s="1"/>
  <c r="G387" i="30" s="1"/>
  <c r="G7" i="44" s="1"/>
  <c r="G46" i="44" s="1"/>
  <c r="G78" i="44"/>
  <c r="E40" i="53"/>
  <c r="L409" i="30"/>
  <c r="L29" i="44" s="1"/>
  <c r="G77" i="44" s="1"/>
  <c r="AC35" i="27"/>
  <c r="M365" i="30"/>
  <c r="I348" i="30"/>
  <c r="I391" i="30" s="1"/>
  <c r="I11" i="44" s="1"/>
  <c r="L175" i="30"/>
  <c r="M174" i="30"/>
  <c r="M175" i="30" s="1"/>
  <c r="U129" i="30"/>
  <c r="G10" i="53" l="1"/>
  <c r="L222" i="30"/>
  <c r="G344" i="30" s="1"/>
  <c r="G388" i="30" s="1"/>
  <c r="G8" i="44" s="1"/>
  <c r="G47" i="44" s="1"/>
  <c r="M217" i="30"/>
  <c r="H340" i="30" s="1"/>
  <c r="H384" i="30" s="1"/>
  <c r="H4" i="44" s="1"/>
  <c r="H41" i="44" s="1"/>
  <c r="M406" i="30"/>
  <c r="M26" i="44" s="1"/>
  <c r="H74" i="44" s="1"/>
  <c r="AD32" i="27"/>
  <c r="D59" i="44"/>
  <c r="Z16" i="27"/>
  <c r="V129" i="30"/>
  <c r="G11" i="53" l="1"/>
  <c r="H5" i="53"/>
  <c r="M221" i="30"/>
  <c r="M222" i="30" s="1"/>
  <c r="H344" i="30" s="1"/>
  <c r="H388" i="30" s="1"/>
  <c r="H8" i="44" s="1"/>
  <c r="H47" i="44" s="1"/>
  <c r="W129" i="30"/>
  <c r="H11" i="53" l="1"/>
  <c r="H343" i="30"/>
  <c r="H387" i="30" s="1"/>
  <c r="H7" i="44" s="1"/>
  <c r="H46" i="44" s="1"/>
  <c r="N217" i="30"/>
  <c r="I340" i="30" s="1"/>
  <c r="X129" i="30"/>
  <c r="H10" i="53" l="1"/>
  <c r="I384" i="30"/>
  <c r="I4" i="44" s="1"/>
  <c r="I41" i="44" s="1"/>
  <c r="Z24" i="27"/>
  <c r="B15" i="28"/>
  <c r="I5" i="53" l="1"/>
  <c r="D52" i="44"/>
  <c r="D88" i="44" s="1"/>
  <c r="B16" i="28"/>
  <c r="B19" i="28" s="1"/>
  <c r="M46" i="27"/>
  <c r="L46" i="27"/>
  <c r="K46" i="27"/>
  <c r="J46" i="27"/>
  <c r="I46" i="27"/>
  <c r="H46" i="27"/>
  <c r="G46" i="27"/>
  <c r="F46" i="27"/>
  <c r="E46" i="27"/>
  <c r="D46" i="27"/>
  <c r="M45" i="27"/>
  <c r="X45" i="27" s="1"/>
  <c r="L45" i="27"/>
  <c r="W45" i="27" s="1"/>
  <c r="K45" i="27"/>
  <c r="V45" i="27" s="1"/>
  <c r="J45" i="27"/>
  <c r="U45" i="27" s="1"/>
  <c r="I45" i="27"/>
  <c r="T45" i="27" s="1"/>
  <c r="H45" i="27"/>
  <c r="S45" i="27" s="1"/>
  <c r="G45" i="27"/>
  <c r="R45" i="27" s="1"/>
  <c r="F45" i="27"/>
  <c r="Q45" i="27" s="1"/>
  <c r="E45" i="27"/>
  <c r="P45" i="27" s="1"/>
  <c r="D45" i="27"/>
  <c r="O45" i="27" s="1"/>
  <c r="M44" i="27"/>
  <c r="X44" i="27" s="1"/>
  <c r="AT44" i="27" s="1"/>
  <c r="L44" i="27"/>
  <c r="W44" i="27" s="1"/>
  <c r="AS44" i="27" s="1"/>
  <c r="K44" i="27"/>
  <c r="V44" i="27" s="1"/>
  <c r="AR44" i="27" s="1"/>
  <c r="J44" i="27"/>
  <c r="U44" i="27" s="1"/>
  <c r="AQ44" i="27" s="1"/>
  <c r="I44" i="27"/>
  <c r="T44" i="27" s="1"/>
  <c r="AP44" i="27" s="1"/>
  <c r="H44" i="27"/>
  <c r="S44" i="27" s="1"/>
  <c r="AO44" i="27" s="1"/>
  <c r="G44" i="27"/>
  <c r="R44" i="27" s="1"/>
  <c r="AN44" i="27" s="1"/>
  <c r="F44" i="27"/>
  <c r="Q44" i="27" s="1"/>
  <c r="AM44" i="27" s="1"/>
  <c r="E44" i="27"/>
  <c r="P44" i="27" s="1"/>
  <c r="AL44" i="27" s="1"/>
  <c r="D44" i="27"/>
  <c r="O44" i="27" s="1"/>
  <c r="AK44" i="27" s="1"/>
  <c r="M42" i="27"/>
  <c r="L42" i="27"/>
  <c r="K42" i="27"/>
  <c r="J42" i="27"/>
  <c r="I42" i="27"/>
  <c r="H42" i="27"/>
  <c r="S42" i="27" s="1"/>
  <c r="AO42" i="27" s="1"/>
  <c r="G42" i="27"/>
  <c r="R42" i="27" s="1"/>
  <c r="AN42" i="27" s="1"/>
  <c r="F42" i="27"/>
  <c r="Q42" i="27" s="1"/>
  <c r="AM42" i="27" s="1"/>
  <c r="E42" i="27"/>
  <c r="P42" i="27" s="1"/>
  <c r="AL42" i="27" s="1"/>
  <c r="D42" i="27"/>
  <c r="O42" i="27" s="1"/>
  <c r="AK42" i="27" s="1"/>
  <c r="M41" i="27"/>
  <c r="L41" i="27"/>
  <c r="K41" i="27"/>
  <c r="J41" i="27"/>
  <c r="I41" i="27"/>
  <c r="D37" i="57" s="1"/>
  <c r="H41" i="27"/>
  <c r="G41" i="27"/>
  <c r="F41" i="27"/>
  <c r="E41" i="27"/>
  <c r="D41" i="27"/>
  <c r="M40" i="27"/>
  <c r="X40" i="27" s="1"/>
  <c r="L40" i="27"/>
  <c r="W40" i="27" s="1"/>
  <c r="K40" i="27"/>
  <c r="V40" i="27" s="1"/>
  <c r="J40" i="27"/>
  <c r="U40" i="27" s="1"/>
  <c r="I40" i="27"/>
  <c r="T40" i="27" s="1"/>
  <c r="H40" i="27"/>
  <c r="S40" i="27" s="1"/>
  <c r="G40" i="27"/>
  <c r="R40" i="27" s="1"/>
  <c r="F40" i="27"/>
  <c r="Q40" i="27" s="1"/>
  <c r="E40" i="27"/>
  <c r="P40" i="27" s="1"/>
  <c r="D40" i="27"/>
  <c r="O40" i="27" s="1"/>
  <c r="AK40" i="27" s="1"/>
  <c r="M36" i="27"/>
  <c r="L36" i="27"/>
  <c r="K36" i="27"/>
  <c r="J36" i="27"/>
  <c r="I36" i="27"/>
  <c r="H36" i="27"/>
  <c r="G36" i="27"/>
  <c r="F36" i="27"/>
  <c r="E36" i="27"/>
  <c r="D36" i="27"/>
  <c r="M35" i="27"/>
  <c r="X35" i="27" s="1"/>
  <c r="L35" i="27"/>
  <c r="W35" i="27" s="1"/>
  <c r="K35" i="27"/>
  <c r="V35" i="27" s="1"/>
  <c r="J35" i="27"/>
  <c r="U35" i="27" s="1"/>
  <c r="I35" i="27"/>
  <c r="T35" i="27" s="1"/>
  <c r="H35" i="27"/>
  <c r="S35" i="27" s="1"/>
  <c r="G35" i="27"/>
  <c r="R35" i="27" s="1"/>
  <c r="AN35" i="27" s="1"/>
  <c r="F35" i="27"/>
  <c r="Q35" i="27" s="1"/>
  <c r="AM35" i="27" s="1"/>
  <c r="E35" i="27"/>
  <c r="P35" i="27" s="1"/>
  <c r="AL35" i="27" s="1"/>
  <c r="D35" i="27"/>
  <c r="O35" i="27" s="1"/>
  <c r="AK35" i="27" s="1"/>
  <c r="M34" i="27"/>
  <c r="X34" i="27" s="1"/>
  <c r="L34" i="27"/>
  <c r="W34" i="27" s="1"/>
  <c r="K34" i="27"/>
  <c r="V34" i="27" s="1"/>
  <c r="J34" i="27"/>
  <c r="U34" i="27" s="1"/>
  <c r="I34" i="27"/>
  <c r="H34" i="27"/>
  <c r="G34" i="27"/>
  <c r="F34" i="27"/>
  <c r="E34" i="27"/>
  <c r="D34" i="27"/>
  <c r="M33" i="27"/>
  <c r="X33" i="27" s="1"/>
  <c r="L33" i="27"/>
  <c r="W33" i="27" s="1"/>
  <c r="K33" i="27"/>
  <c r="V33" i="27" s="1"/>
  <c r="J33" i="27"/>
  <c r="U33" i="27" s="1"/>
  <c r="I33" i="27"/>
  <c r="T33" i="27" s="1"/>
  <c r="H33" i="27"/>
  <c r="G33" i="27"/>
  <c r="F33" i="27"/>
  <c r="E33" i="27"/>
  <c r="D33" i="27"/>
  <c r="M32" i="27"/>
  <c r="X32" i="27" s="1"/>
  <c r="L32" i="27"/>
  <c r="W32" i="27" s="1"/>
  <c r="K32" i="27"/>
  <c r="V32" i="27" s="1"/>
  <c r="J32" i="27"/>
  <c r="U32" i="27" s="1"/>
  <c r="I32" i="27"/>
  <c r="T32" i="27" s="1"/>
  <c r="H32" i="27"/>
  <c r="S32" i="27" s="1"/>
  <c r="AO32" i="27" s="1"/>
  <c r="G32" i="27"/>
  <c r="R32" i="27" s="1"/>
  <c r="AN32" i="27" s="1"/>
  <c r="F32" i="27"/>
  <c r="Q32" i="27" s="1"/>
  <c r="AM32" i="27" s="1"/>
  <c r="E32" i="27"/>
  <c r="P32" i="27" s="1"/>
  <c r="AL32" i="27" s="1"/>
  <c r="D32" i="27"/>
  <c r="O32" i="27" s="1"/>
  <c r="AK32" i="27" s="1"/>
  <c r="M28" i="27"/>
  <c r="L28" i="27"/>
  <c r="K28" i="27"/>
  <c r="J28" i="27"/>
  <c r="I28" i="27"/>
  <c r="H28" i="27"/>
  <c r="G28" i="27"/>
  <c r="F28" i="27"/>
  <c r="E28" i="27"/>
  <c r="D28" i="27"/>
  <c r="M27" i="27"/>
  <c r="X27" i="27" s="1"/>
  <c r="L27" i="27"/>
  <c r="W27" i="27" s="1"/>
  <c r="K27" i="27"/>
  <c r="V27" i="27" s="1"/>
  <c r="J27" i="27"/>
  <c r="U27" i="27" s="1"/>
  <c r="I27" i="27"/>
  <c r="T27" i="27" s="1"/>
  <c r="H27" i="27"/>
  <c r="S27" i="27" s="1"/>
  <c r="G27" i="27"/>
  <c r="R27" i="27" s="1"/>
  <c r="F27" i="27"/>
  <c r="Q27" i="27" s="1"/>
  <c r="E27" i="27"/>
  <c r="P27" i="27" s="1"/>
  <c r="D27" i="27"/>
  <c r="O27" i="27" s="1"/>
  <c r="M26" i="27"/>
  <c r="X26" i="27" s="1"/>
  <c r="L26" i="27"/>
  <c r="W26" i="27" s="1"/>
  <c r="K26" i="27"/>
  <c r="V26" i="27" s="1"/>
  <c r="J26" i="27"/>
  <c r="U26" i="27" s="1"/>
  <c r="I26" i="27"/>
  <c r="H26" i="27"/>
  <c r="G26" i="27"/>
  <c r="F26" i="27"/>
  <c r="E26" i="27"/>
  <c r="D26" i="27"/>
  <c r="M25" i="27"/>
  <c r="X25" i="27" s="1"/>
  <c r="AT25" i="27" s="1"/>
  <c r="L25" i="27"/>
  <c r="W25" i="27" s="1"/>
  <c r="AS25" i="27" s="1"/>
  <c r="K25" i="27"/>
  <c r="V25" i="27" s="1"/>
  <c r="AR25" i="27" s="1"/>
  <c r="J25" i="27"/>
  <c r="U25" i="27" s="1"/>
  <c r="AQ25" i="27" s="1"/>
  <c r="I25" i="27"/>
  <c r="H25" i="27"/>
  <c r="G25" i="27"/>
  <c r="F25" i="27"/>
  <c r="E25" i="27"/>
  <c r="D25" i="27"/>
  <c r="M24" i="27"/>
  <c r="X24" i="27" s="1"/>
  <c r="L24" i="27"/>
  <c r="W24" i="27" s="1"/>
  <c r="K24" i="27"/>
  <c r="V24" i="27" s="1"/>
  <c r="J24" i="27"/>
  <c r="U24" i="27" s="1"/>
  <c r="I24" i="27"/>
  <c r="T24" i="27" s="1"/>
  <c r="H24" i="27"/>
  <c r="S24" i="27" s="1"/>
  <c r="G24" i="27"/>
  <c r="R24" i="27" s="1"/>
  <c r="F24" i="27"/>
  <c r="Q24" i="27" s="1"/>
  <c r="E24" i="27"/>
  <c r="P24" i="27" s="1"/>
  <c r="D24" i="27"/>
  <c r="O24" i="27" s="1"/>
  <c r="AK24" i="27" s="1"/>
  <c r="M20" i="27"/>
  <c r="L20" i="27"/>
  <c r="K20" i="27"/>
  <c r="J20" i="27"/>
  <c r="I20" i="27"/>
  <c r="H20" i="27"/>
  <c r="G20" i="27"/>
  <c r="F20" i="27"/>
  <c r="E20" i="27"/>
  <c r="D20" i="27"/>
  <c r="M19" i="27"/>
  <c r="X19" i="27" s="1"/>
  <c r="L19" i="27"/>
  <c r="W19" i="27" s="1"/>
  <c r="K19" i="27"/>
  <c r="V19" i="27" s="1"/>
  <c r="J19" i="27"/>
  <c r="U19" i="27" s="1"/>
  <c r="I19" i="27"/>
  <c r="T19" i="27" s="1"/>
  <c r="H19" i="27"/>
  <c r="S19" i="27" s="1"/>
  <c r="G19" i="27"/>
  <c r="R19" i="27" s="1"/>
  <c r="F19" i="27"/>
  <c r="Q19" i="27" s="1"/>
  <c r="E19" i="27"/>
  <c r="P19" i="27" s="1"/>
  <c r="D19" i="27"/>
  <c r="O19" i="27" s="1"/>
  <c r="M18" i="27"/>
  <c r="X18" i="27" s="1"/>
  <c r="L18" i="27"/>
  <c r="W18" i="27" s="1"/>
  <c r="K18" i="27"/>
  <c r="V18" i="27" s="1"/>
  <c r="J18" i="27"/>
  <c r="U18" i="27" s="1"/>
  <c r="I18" i="27"/>
  <c r="H18" i="27"/>
  <c r="G18" i="27"/>
  <c r="F18" i="27"/>
  <c r="E18" i="27"/>
  <c r="D18" i="27"/>
  <c r="M17" i="27"/>
  <c r="X17" i="27" s="1"/>
  <c r="AT17" i="27" s="1"/>
  <c r="L17" i="27"/>
  <c r="W17" i="27" s="1"/>
  <c r="AS17" i="27" s="1"/>
  <c r="K17" i="27"/>
  <c r="V17" i="27" s="1"/>
  <c r="AR17" i="27" s="1"/>
  <c r="J17" i="27"/>
  <c r="U17" i="27" s="1"/>
  <c r="AQ17" i="27" s="1"/>
  <c r="I17" i="27"/>
  <c r="H17" i="27"/>
  <c r="G17" i="27"/>
  <c r="F17" i="27"/>
  <c r="E17" i="27"/>
  <c r="D17" i="27"/>
  <c r="M16" i="27"/>
  <c r="X16" i="27" s="1"/>
  <c r="L16" i="27"/>
  <c r="W16" i="27" s="1"/>
  <c r="K16" i="27"/>
  <c r="V16" i="27" s="1"/>
  <c r="J16" i="27"/>
  <c r="U16" i="27" s="1"/>
  <c r="I16" i="27"/>
  <c r="T16" i="27" s="1"/>
  <c r="H16" i="27"/>
  <c r="S16" i="27" s="1"/>
  <c r="G16" i="27"/>
  <c r="R16" i="27" s="1"/>
  <c r="F16" i="27"/>
  <c r="Q16" i="27" s="1"/>
  <c r="E16" i="27"/>
  <c r="P16" i="27" s="1"/>
  <c r="D16" i="27"/>
  <c r="O16" i="27" s="1"/>
  <c r="AK16" i="27" s="1"/>
  <c r="O277" i="30" l="1"/>
  <c r="H37" i="57"/>
  <c r="L277" i="30"/>
  <c r="E37" i="57"/>
  <c r="M277" i="30"/>
  <c r="F37" i="57"/>
  <c r="N277" i="30"/>
  <c r="G37" i="57"/>
  <c r="I34" i="57"/>
  <c r="K277" i="30"/>
  <c r="I51" i="27"/>
  <c r="I57" i="27" s="1"/>
  <c r="T17" i="27"/>
  <c r="AP17" i="27" s="1"/>
  <c r="R20" i="27"/>
  <c r="E29" i="53"/>
  <c r="V20" i="27"/>
  <c r="I29" i="53"/>
  <c r="I78" i="27"/>
  <c r="I83" i="27" s="1"/>
  <c r="I88" i="27" s="1"/>
  <c r="T26" i="27"/>
  <c r="P28" i="27"/>
  <c r="C30" i="53"/>
  <c r="T28" i="27"/>
  <c r="G30" i="53"/>
  <c r="X28" i="27"/>
  <c r="K30" i="53"/>
  <c r="R36" i="27"/>
  <c r="AN36" i="27" s="1"/>
  <c r="E32" i="53"/>
  <c r="V36" i="27"/>
  <c r="I32" i="53"/>
  <c r="V41" i="27"/>
  <c r="D40" i="57"/>
  <c r="T42" i="27"/>
  <c r="H40" i="57"/>
  <c r="O278" i="30" s="1"/>
  <c r="X42" i="27"/>
  <c r="R46" i="27"/>
  <c r="E31" i="53"/>
  <c r="V46" i="27"/>
  <c r="I31" i="53"/>
  <c r="O20" i="27"/>
  <c r="B29" i="53"/>
  <c r="S20" i="27"/>
  <c r="F29" i="53"/>
  <c r="W20" i="27"/>
  <c r="J29" i="53"/>
  <c r="Q28" i="27"/>
  <c r="D30" i="53"/>
  <c r="U28" i="27"/>
  <c r="H30" i="53"/>
  <c r="O36" i="27"/>
  <c r="AK36" i="27" s="1"/>
  <c r="B32" i="53"/>
  <c r="S36" i="27"/>
  <c r="F32" i="53"/>
  <c r="W36" i="27"/>
  <c r="J32" i="53"/>
  <c r="W41" i="27"/>
  <c r="E40" i="57"/>
  <c r="L278" i="30" s="1"/>
  <c r="U42" i="27"/>
  <c r="O46" i="27"/>
  <c r="B31" i="53"/>
  <c r="S46" i="27"/>
  <c r="F31" i="53"/>
  <c r="W46" i="27"/>
  <c r="J31" i="53"/>
  <c r="I77" i="27"/>
  <c r="I82" i="27" s="1"/>
  <c r="T18" i="27"/>
  <c r="P20" i="27"/>
  <c r="C29" i="53"/>
  <c r="T20" i="27"/>
  <c r="G29" i="53"/>
  <c r="X20" i="27"/>
  <c r="K29" i="53"/>
  <c r="I52" i="27"/>
  <c r="I58" i="27" s="1"/>
  <c r="I64" i="27" s="1"/>
  <c r="T25" i="27"/>
  <c r="AP25" i="27" s="1"/>
  <c r="R28" i="27"/>
  <c r="E30" i="53"/>
  <c r="V28" i="27"/>
  <c r="I30" i="53"/>
  <c r="I79" i="27"/>
  <c r="I84" i="27" s="1"/>
  <c r="T34" i="27"/>
  <c r="P36" i="27"/>
  <c r="AL36" i="27" s="1"/>
  <c r="C32" i="53"/>
  <c r="T36" i="27"/>
  <c r="G32" i="53"/>
  <c r="X36" i="27"/>
  <c r="K32" i="53"/>
  <c r="T41" i="27"/>
  <c r="X41" i="27"/>
  <c r="F40" i="57"/>
  <c r="M278" i="30" s="1"/>
  <c r="V42" i="27"/>
  <c r="P46" i="27"/>
  <c r="C31" i="53"/>
  <c r="T46" i="27"/>
  <c r="G31" i="53"/>
  <c r="X46" i="27"/>
  <c r="K31" i="53"/>
  <c r="Q20" i="27"/>
  <c r="D29" i="53"/>
  <c r="U20" i="27"/>
  <c r="H29" i="53"/>
  <c r="O28" i="27"/>
  <c r="B30" i="53"/>
  <c r="S28" i="27"/>
  <c r="F30" i="53"/>
  <c r="W28" i="27"/>
  <c r="J30" i="53"/>
  <c r="Q36" i="27"/>
  <c r="AM36" i="27" s="1"/>
  <c r="D32" i="53"/>
  <c r="U36" i="27"/>
  <c r="H32" i="53"/>
  <c r="U41" i="27"/>
  <c r="G40" i="57"/>
  <c r="N278" i="30" s="1"/>
  <c r="G294" i="30" s="1"/>
  <c r="W42" i="27"/>
  <c r="Q46" i="27"/>
  <c r="D31" i="53"/>
  <c r="U46" i="27"/>
  <c r="H31" i="53"/>
  <c r="I32" i="57"/>
  <c r="D51" i="27"/>
  <c r="D57" i="27" s="1"/>
  <c r="D117" i="36" s="1"/>
  <c r="O17" i="27"/>
  <c r="L51" i="27"/>
  <c r="L57" i="27" s="1"/>
  <c r="L63" i="27" s="1"/>
  <c r="J77" i="27"/>
  <c r="J82" i="27" s="1"/>
  <c r="J87" i="27" s="1"/>
  <c r="F52" i="27"/>
  <c r="F58" i="27" s="1"/>
  <c r="F116" i="36" s="1"/>
  <c r="Q25" i="27"/>
  <c r="J52" i="27"/>
  <c r="J58" i="27" s="1"/>
  <c r="D78" i="27"/>
  <c r="D83" i="27" s="1"/>
  <c r="D82" i="36" s="1"/>
  <c r="O26" i="27"/>
  <c r="H78" i="27"/>
  <c r="H83" i="27" s="1"/>
  <c r="H82" i="36" s="1"/>
  <c r="S26" i="27"/>
  <c r="L78" i="27"/>
  <c r="L83" i="27" s="1"/>
  <c r="L88" i="27" s="1"/>
  <c r="J79" i="27"/>
  <c r="J84" i="27" s="1"/>
  <c r="F54" i="27"/>
  <c r="F60" i="27" s="1"/>
  <c r="F72" i="27" s="1"/>
  <c r="H273" i="30" s="1"/>
  <c r="P284" i="30" s="1"/>
  <c r="K357" i="30" s="1"/>
  <c r="Q41" i="27"/>
  <c r="E53" i="27"/>
  <c r="E59" i="27" s="1"/>
  <c r="E65" i="27" s="1"/>
  <c r="P33" i="27"/>
  <c r="AL33" i="27" s="1"/>
  <c r="G79" i="27"/>
  <c r="G84" i="27" s="1"/>
  <c r="G83" i="36" s="1"/>
  <c r="R34" i="27"/>
  <c r="AN34" i="27" s="1"/>
  <c r="K79" i="27"/>
  <c r="K84" i="27" s="1"/>
  <c r="K89" i="27" s="1"/>
  <c r="G54" i="27"/>
  <c r="G60" i="27" s="1"/>
  <c r="R41" i="27"/>
  <c r="G51" i="27"/>
  <c r="G57" i="27" s="1"/>
  <c r="G117" i="36" s="1"/>
  <c r="R17" i="27"/>
  <c r="K51" i="27"/>
  <c r="K57" i="27" s="1"/>
  <c r="E77" i="27"/>
  <c r="E82" i="27" s="1"/>
  <c r="E81" i="36" s="1"/>
  <c r="P18" i="27"/>
  <c r="M77" i="27"/>
  <c r="M82" i="27" s="1"/>
  <c r="M87" i="27" s="1"/>
  <c r="E52" i="27"/>
  <c r="E58" i="27" s="1"/>
  <c r="E116" i="36" s="1"/>
  <c r="P25" i="27"/>
  <c r="M52" i="27"/>
  <c r="M58" i="27" s="1"/>
  <c r="M64" i="27" s="1"/>
  <c r="G78" i="27"/>
  <c r="G83" i="27" s="1"/>
  <c r="G82" i="36" s="1"/>
  <c r="R26" i="27"/>
  <c r="K78" i="27"/>
  <c r="K83" i="27" s="1"/>
  <c r="K88" i="27" s="1"/>
  <c r="G53" i="27"/>
  <c r="G59" i="27" s="1"/>
  <c r="G65" i="27" s="1"/>
  <c r="R33" i="27"/>
  <c r="AN33" i="27" s="1"/>
  <c r="E79" i="27"/>
  <c r="E84" i="27" s="1"/>
  <c r="E83" i="36" s="1"/>
  <c r="P34" i="27"/>
  <c r="AL34" i="27" s="1"/>
  <c r="M79" i="27"/>
  <c r="M84" i="27" s="1"/>
  <c r="M89" i="27" s="1"/>
  <c r="E54" i="27"/>
  <c r="E60" i="27" s="1"/>
  <c r="E72" i="27" s="1"/>
  <c r="G273" i="30" s="1"/>
  <c r="O284" i="30" s="1"/>
  <c r="J357" i="30" s="1"/>
  <c r="P41" i="27"/>
  <c r="H51" i="27"/>
  <c r="H57" i="27" s="1"/>
  <c r="H117" i="36" s="1"/>
  <c r="S17" i="27"/>
  <c r="F77" i="27"/>
  <c r="F82" i="27" s="1"/>
  <c r="F81" i="36" s="1"/>
  <c r="Q18" i="27"/>
  <c r="D53" i="27"/>
  <c r="D59" i="27" s="1"/>
  <c r="D65" i="27" s="1"/>
  <c r="O33" i="27"/>
  <c r="AK33" i="27" s="1"/>
  <c r="H53" i="27"/>
  <c r="H59" i="27" s="1"/>
  <c r="H65" i="27" s="1"/>
  <c r="S33" i="27"/>
  <c r="F79" i="27"/>
  <c r="F84" i="27" s="1"/>
  <c r="F83" i="36" s="1"/>
  <c r="Q34" i="27"/>
  <c r="AM34" i="27" s="1"/>
  <c r="E51" i="27"/>
  <c r="E57" i="27" s="1"/>
  <c r="E117" i="36" s="1"/>
  <c r="P17" i="27"/>
  <c r="M51" i="27"/>
  <c r="M57" i="27" s="1"/>
  <c r="G77" i="27"/>
  <c r="G82" i="27" s="1"/>
  <c r="G81" i="36" s="1"/>
  <c r="R18" i="27"/>
  <c r="K77" i="27"/>
  <c r="K82" i="27" s="1"/>
  <c r="K87" i="27" s="1"/>
  <c r="G52" i="27"/>
  <c r="G58" i="27" s="1"/>
  <c r="G116" i="36" s="1"/>
  <c r="R25" i="27"/>
  <c r="K52" i="27"/>
  <c r="K58" i="27" s="1"/>
  <c r="K64" i="27" s="1"/>
  <c r="E78" i="27"/>
  <c r="E83" i="27" s="1"/>
  <c r="E82" i="36" s="1"/>
  <c r="P26" i="27"/>
  <c r="M78" i="27"/>
  <c r="M83" i="27" s="1"/>
  <c r="F51" i="27"/>
  <c r="F57" i="27" s="1"/>
  <c r="F117" i="36" s="1"/>
  <c r="Q17" i="27"/>
  <c r="J51" i="27"/>
  <c r="J57" i="27" s="1"/>
  <c r="J63" i="27" s="1"/>
  <c r="D77" i="27"/>
  <c r="D82" i="27" s="1"/>
  <c r="D81" i="36" s="1"/>
  <c r="O18" i="27"/>
  <c r="H77" i="27"/>
  <c r="H82" i="27" s="1"/>
  <c r="H81" i="36" s="1"/>
  <c r="S18" i="27"/>
  <c r="L77" i="27"/>
  <c r="L82" i="27" s="1"/>
  <c r="L87" i="27" s="1"/>
  <c r="D52" i="27"/>
  <c r="D58" i="27" s="1"/>
  <c r="D116" i="36" s="1"/>
  <c r="O25" i="27"/>
  <c r="H52" i="27"/>
  <c r="H58" i="27" s="1"/>
  <c r="H116" i="36" s="1"/>
  <c r="S25" i="27"/>
  <c r="L52" i="27"/>
  <c r="L58" i="27" s="1"/>
  <c r="F78" i="27"/>
  <c r="F83" i="27" s="1"/>
  <c r="F82" i="36" s="1"/>
  <c r="Q26" i="27"/>
  <c r="J78" i="27"/>
  <c r="J83" i="27" s="1"/>
  <c r="J88" i="27" s="1"/>
  <c r="F53" i="27"/>
  <c r="F59" i="27" s="1"/>
  <c r="F65" i="27" s="1"/>
  <c r="Q33" i="27"/>
  <c r="AM33" i="27" s="1"/>
  <c r="D79" i="27"/>
  <c r="D84" i="27" s="1"/>
  <c r="D83" i="36" s="1"/>
  <c r="O34" i="27"/>
  <c r="AK34" i="27" s="1"/>
  <c r="H79" i="27"/>
  <c r="H84" i="27" s="1"/>
  <c r="H83" i="36" s="1"/>
  <c r="S34" i="27"/>
  <c r="L79" i="27"/>
  <c r="L84" i="27" s="1"/>
  <c r="L89" i="27" s="1"/>
  <c r="D54" i="27"/>
  <c r="D60" i="27" s="1"/>
  <c r="D72" i="27" s="1"/>
  <c r="F273" i="30" s="1"/>
  <c r="N284" i="30" s="1"/>
  <c r="O41" i="27"/>
  <c r="H54" i="27"/>
  <c r="H60" i="27" s="1"/>
  <c r="H72" i="27" s="1"/>
  <c r="J273" i="30" s="1"/>
  <c r="R284" i="30" s="1"/>
  <c r="M357" i="30" s="1"/>
  <c r="S41" i="27"/>
  <c r="I63" i="27"/>
  <c r="E71" i="27"/>
  <c r="G76" i="36" s="1"/>
  <c r="G304" i="30" s="1"/>
  <c r="G72" i="27"/>
  <c r="I273" i="30" s="1"/>
  <c r="Q284" i="30" s="1"/>
  <c r="L357" i="30" s="1"/>
  <c r="G66" i="27"/>
  <c r="G64" i="27"/>
  <c r="E93" i="27"/>
  <c r="E88" i="27"/>
  <c r="F69" i="27"/>
  <c r="F49" i="30" s="1"/>
  <c r="F88" i="27"/>
  <c r="F93" i="27"/>
  <c r="F71" i="27"/>
  <c r="H76" i="36" s="1"/>
  <c r="H304" i="30" s="1"/>
  <c r="G69" i="27"/>
  <c r="G49" i="30" s="1"/>
  <c r="E92" i="27"/>
  <c r="I87" i="27"/>
  <c r="E70" i="27"/>
  <c r="E41" i="30" s="1"/>
  <c r="E64" i="27"/>
  <c r="G93" i="27"/>
  <c r="G71" i="27"/>
  <c r="I76" i="36" s="1"/>
  <c r="I304" i="30" s="1"/>
  <c r="I89" i="27"/>
  <c r="E66" i="27"/>
  <c r="D63" i="27"/>
  <c r="D69" i="27"/>
  <c r="D49" i="30" s="1"/>
  <c r="F64" i="27"/>
  <c r="H93" i="27"/>
  <c r="F94" i="27"/>
  <c r="J89" i="27"/>
  <c r="B17" i="28"/>
  <c r="L54" i="27"/>
  <c r="L60" i="27" s="1"/>
  <c r="K53" i="27"/>
  <c r="K59" i="27" s="1"/>
  <c r="I54" i="27"/>
  <c r="I60" i="27" s="1"/>
  <c r="M54" i="27"/>
  <c r="M60" i="27" s="1"/>
  <c r="I53" i="27"/>
  <c r="I59" i="27" s="1"/>
  <c r="M53" i="27"/>
  <c r="M59" i="27" s="1"/>
  <c r="K54" i="27"/>
  <c r="K60" i="27" s="1"/>
  <c r="J53" i="27"/>
  <c r="J59" i="27" s="1"/>
  <c r="L53" i="27"/>
  <c r="L59" i="27" s="1"/>
  <c r="J54" i="27"/>
  <c r="J60" i="27" s="1"/>
  <c r="F87" i="27" l="1"/>
  <c r="E69" i="27"/>
  <c r="E49" i="30" s="1"/>
  <c r="F63" i="27"/>
  <c r="D88" i="27"/>
  <c r="F92" i="27"/>
  <c r="E63" i="27"/>
  <c r="H71" i="27"/>
  <c r="J76" i="36" s="1"/>
  <c r="J304" i="30" s="1"/>
  <c r="R324" i="30" s="1"/>
  <c r="G88" i="27"/>
  <c r="D70" i="27"/>
  <c r="D41" i="30" s="1"/>
  <c r="D66" i="27"/>
  <c r="G87" i="27"/>
  <c r="E87" i="27"/>
  <c r="D92" i="27"/>
  <c r="M88" i="27"/>
  <c r="G70" i="27"/>
  <c r="G41" i="30" s="1"/>
  <c r="Q63" i="30" s="1"/>
  <c r="G89" i="27"/>
  <c r="G92" i="27"/>
  <c r="F66" i="27"/>
  <c r="D71" i="27"/>
  <c r="F76" i="36" s="1"/>
  <c r="F304" i="30" s="1"/>
  <c r="G63" i="27"/>
  <c r="D87" i="27"/>
  <c r="G94" i="27"/>
  <c r="H88" i="27"/>
  <c r="H63" i="27"/>
  <c r="H64" i="27"/>
  <c r="H70" i="27"/>
  <c r="H41" i="30" s="1"/>
  <c r="R63" i="30" s="1"/>
  <c r="H92" i="27"/>
  <c r="M63" i="27"/>
  <c r="AN37" i="27"/>
  <c r="AK37" i="27"/>
  <c r="AM37" i="27"/>
  <c r="AL37" i="27"/>
  <c r="K278" i="30"/>
  <c r="D294" i="30" s="1"/>
  <c r="N358" i="30" s="1"/>
  <c r="I40" i="57"/>
  <c r="I116" i="36"/>
  <c r="I82" i="36"/>
  <c r="I81" i="36"/>
  <c r="K399" i="30"/>
  <c r="K19" i="44" s="1"/>
  <c r="F67" i="44" s="1"/>
  <c r="AB41" i="27"/>
  <c r="AM41" i="27" s="1"/>
  <c r="L399" i="30"/>
  <c r="L19" i="44" s="1"/>
  <c r="G67" i="44" s="1"/>
  <c r="AC41" i="27"/>
  <c r="AN41" i="27" s="1"/>
  <c r="J399" i="30"/>
  <c r="J19" i="44" s="1"/>
  <c r="E67" i="44" s="1"/>
  <c r="AA41" i="27"/>
  <c r="AL41" i="27" s="1"/>
  <c r="H94" i="27"/>
  <c r="I83" i="36"/>
  <c r="H89" i="27"/>
  <c r="J64" i="27"/>
  <c r="M399" i="30"/>
  <c r="M19" i="44" s="1"/>
  <c r="H67" i="44" s="1"/>
  <c r="AD41" i="27"/>
  <c r="AO41" i="27" s="1"/>
  <c r="F294" i="30"/>
  <c r="P358" i="30" s="1"/>
  <c r="E294" i="30"/>
  <c r="O358" i="30" s="1"/>
  <c r="H294" i="30"/>
  <c r="R358" i="30" s="1"/>
  <c r="D93" i="27"/>
  <c r="F70" i="27"/>
  <c r="F41" i="30" s="1"/>
  <c r="P219" i="30" s="1"/>
  <c r="K341" i="30" s="1"/>
  <c r="H69" i="27"/>
  <c r="H49" i="30" s="1"/>
  <c r="R227" i="30" s="1"/>
  <c r="M349" i="30" s="1"/>
  <c r="M392" i="30" s="1"/>
  <c r="M12" i="44" s="1"/>
  <c r="E89" i="27"/>
  <c r="K63" i="27"/>
  <c r="H66" i="27"/>
  <c r="D89" i="27"/>
  <c r="L64" i="27"/>
  <c r="F89" i="27"/>
  <c r="E94" i="27"/>
  <c r="D94" i="27"/>
  <c r="D64" i="27"/>
  <c r="H87" i="27"/>
  <c r="I117" i="36"/>
  <c r="H293" i="30"/>
  <c r="R357" i="30" s="1"/>
  <c r="R399" i="30" s="1"/>
  <c r="R19" i="44" s="1"/>
  <c r="F293" i="30"/>
  <c r="P357" i="30" s="1"/>
  <c r="P399" i="30" s="1"/>
  <c r="P19" i="44" s="1"/>
  <c r="G293" i="30"/>
  <c r="Q357" i="30" s="1"/>
  <c r="Q399" i="30" s="1"/>
  <c r="Q19" i="44" s="1"/>
  <c r="E293" i="30"/>
  <c r="O357" i="30" s="1"/>
  <c r="O399" i="30" s="1"/>
  <c r="O19" i="44" s="1"/>
  <c r="J66" i="27"/>
  <c r="J65" i="27"/>
  <c r="M65" i="27"/>
  <c r="M66" i="27"/>
  <c r="K65" i="27"/>
  <c r="O116" i="30"/>
  <c r="O181" i="30"/>
  <c r="O227" i="30"/>
  <c r="J349" i="30" s="1"/>
  <c r="J392" i="30" s="1"/>
  <c r="J12" i="44" s="1"/>
  <c r="P181" i="30"/>
  <c r="P116" i="30"/>
  <c r="P227" i="30"/>
  <c r="K349" i="30" s="1"/>
  <c r="K392" i="30" s="1"/>
  <c r="K12" i="44" s="1"/>
  <c r="O63" i="30"/>
  <c r="O219" i="30"/>
  <c r="J341" i="30" s="1"/>
  <c r="L65" i="27"/>
  <c r="K66" i="27"/>
  <c r="I65" i="27"/>
  <c r="I66" i="27"/>
  <c r="L66" i="27"/>
  <c r="N181" i="30"/>
  <c r="N227" i="30"/>
  <c r="N116" i="30"/>
  <c r="Q181" i="30"/>
  <c r="Q116" i="30"/>
  <c r="Q227" i="30"/>
  <c r="L349" i="30" s="1"/>
  <c r="L392" i="30" s="1"/>
  <c r="L12" i="44" s="1"/>
  <c r="N287" i="30"/>
  <c r="I357" i="30"/>
  <c r="R219" i="30"/>
  <c r="M341" i="30" s="1"/>
  <c r="N219" i="30"/>
  <c r="N63" i="30"/>
  <c r="Q358" i="30"/>
  <c r="B18" i="28"/>
  <c r="S314" i="30" l="1"/>
  <c r="Q219" i="30"/>
  <c r="L341" i="30" s="1"/>
  <c r="AC25" i="27" s="1"/>
  <c r="AN25" i="27" s="1"/>
  <c r="G38" i="68"/>
  <c r="G21" i="68"/>
  <c r="D38" i="68"/>
  <c r="D21" i="68"/>
  <c r="E38" i="68"/>
  <c r="E21" i="68"/>
  <c r="H38" i="68"/>
  <c r="H21" i="68"/>
  <c r="F38" i="68"/>
  <c r="F21" i="68"/>
  <c r="L67" i="44"/>
  <c r="M67" i="44"/>
  <c r="J67" i="44"/>
  <c r="K67" i="44"/>
  <c r="D155" i="62"/>
  <c r="D131" i="62"/>
  <c r="D143" i="62"/>
  <c r="D167" i="62"/>
  <c r="D293" i="30"/>
  <c r="N357" i="30" s="1"/>
  <c r="N399" i="30" s="1"/>
  <c r="N19" i="44" s="1"/>
  <c r="O400" i="30"/>
  <c r="O20" i="44" s="1"/>
  <c r="O44" i="44" s="1"/>
  <c r="P400" i="30"/>
  <c r="P20" i="44" s="1"/>
  <c r="P44" i="44" s="1"/>
  <c r="N400" i="30"/>
  <c r="N20" i="44" s="1"/>
  <c r="N44" i="44" s="1"/>
  <c r="R400" i="30"/>
  <c r="R20" i="44" s="1"/>
  <c r="R44" i="44" s="1"/>
  <c r="Q400" i="30"/>
  <c r="Q20" i="44" s="1"/>
  <c r="Q44" i="44" s="1"/>
  <c r="R181" i="30"/>
  <c r="P63" i="30"/>
  <c r="Q90" i="30" s="1"/>
  <c r="R90" i="30" s="1"/>
  <c r="S90" i="30" s="1"/>
  <c r="K385" i="30"/>
  <c r="K5" i="44" s="1"/>
  <c r="K42" i="44" s="1"/>
  <c r="AB25" i="27"/>
  <c r="AM25" i="27" s="1"/>
  <c r="E60" i="44"/>
  <c r="AA17" i="27"/>
  <c r="AL17" i="27" s="1"/>
  <c r="F60" i="44"/>
  <c r="AB17" i="27"/>
  <c r="AM17" i="27" s="1"/>
  <c r="L385" i="30"/>
  <c r="L5" i="44" s="1"/>
  <c r="L42" i="44" s="1"/>
  <c r="G60" i="44"/>
  <c r="AC17" i="27"/>
  <c r="AN17" i="27" s="1"/>
  <c r="I399" i="30"/>
  <c r="I19" i="44" s="1"/>
  <c r="D67" i="44" s="1"/>
  <c r="Z41" i="27"/>
  <c r="AK41" i="27" s="1"/>
  <c r="J385" i="30"/>
  <c r="J5" i="44" s="1"/>
  <c r="J42" i="44" s="1"/>
  <c r="AA25" i="27"/>
  <c r="AL25" i="27" s="1"/>
  <c r="R116" i="30"/>
  <c r="T139" i="30" s="1"/>
  <c r="U139" i="30" s="1"/>
  <c r="V139" i="30" s="1"/>
  <c r="W139" i="30" s="1"/>
  <c r="X139" i="30" s="1"/>
  <c r="H60" i="44"/>
  <c r="AD17" i="27"/>
  <c r="AO17" i="27" s="1"/>
  <c r="M385" i="30"/>
  <c r="M5" i="44" s="1"/>
  <c r="AD25" i="27"/>
  <c r="AO25" i="27" s="1"/>
  <c r="R91" i="30"/>
  <c r="S91" i="30" s="1"/>
  <c r="T91" i="30" s="1"/>
  <c r="U91" i="30" s="1"/>
  <c r="V91" i="30" s="1"/>
  <c r="W91" i="30" s="1"/>
  <c r="Q172" i="30"/>
  <c r="I341" i="30"/>
  <c r="N288" i="30"/>
  <c r="I361" i="30" s="1"/>
  <c r="O283" i="30"/>
  <c r="I360" i="30"/>
  <c r="R135" i="30"/>
  <c r="S135" i="30"/>
  <c r="Q135" i="30"/>
  <c r="O135" i="30"/>
  <c r="N148" i="30" s="1"/>
  <c r="N182" i="30" s="1"/>
  <c r="P135" i="30"/>
  <c r="T135" i="30"/>
  <c r="S136" i="30"/>
  <c r="P136" i="30"/>
  <c r="T136" i="30"/>
  <c r="U136" i="30" s="1"/>
  <c r="V136" i="30" s="1"/>
  <c r="W136" i="30" s="1"/>
  <c r="X136" i="30" s="1"/>
  <c r="R136" i="30"/>
  <c r="Q136" i="30"/>
  <c r="I349" i="30"/>
  <c r="I392" i="30" s="1"/>
  <c r="I12" i="44" s="1"/>
  <c r="R172" i="30"/>
  <c r="S92" i="30"/>
  <c r="T92" i="30" s="1"/>
  <c r="U92" i="30" s="1"/>
  <c r="V92" i="30" s="1"/>
  <c r="W92" i="30" s="1"/>
  <c r="X92" i="30" s="1"/>
  <c r="R138" i="30"/>
  <c r="T138" i="30"/>
  <c r="U138" i="30" s="1"/>
  <c r="V138" i="30" s="1"/>
  <c r="W138" i="30" s="1"/>
  <c r="X138" i="30" s="1"/>
  <c r="S138" i="30"/>
  <c r="M366" i="30"/>
  <c r="O172" i="30"/>
  <c r="P89" i="30"/>
  <c r="Q89" i="30" s="1"/>
  <c r="T137" i="30"/>
  <c r="U137" i="30" s="1"/>
  <c r="V137" i="30" s="1"/>
  <c r="W137" i="30" s="1"/>
  <c r="X137" i="30" s="1"/>
  <c r="Q137" i="30"/>
  <c r="S137" i="30"/>
  <c r="R137" i="30"/>
  <c r="N172" i="30"/>
  <c r="O88" i="30"/>
  <c r="N101" i="30" s="1"/>
  <c r="N173" i="30" s="1"/>
  <c r="R325" i="30"/>
  <c r="M367" i="30" s="1"/>
  <c r="T314" i="30"/>
  <c r="U314" i="30" s="1"/>
  <c r="V314" i="30" s="1"/>
  <c r="W314" i="30" s="1"/>
  <c r="I38" i="68" l="1"/>
  <c r="AI41" i="27"/>
  <c r="AT41" i="27" s="1"/>
  <c r="AG41" i="27"/>
  <c r="AR41" i="27" s="1"/>
  <c r="AH41" i="27"/>
  <c r="AS41" i="27" s="1"/>
  <c r="AF41" i="27"/>
  <c r="AQ41" i="27" s="1"/>
  <c r="G53" i="44"/>
  <c r="G89" i="44" s="1"/>
  <c r="R8" i="53"/>
  <c r="I67" i="44"/>
  <c r="H53" i="44"/>
  <c r="J6" i="53"/>
  <c r="F53" i="44"/>
  <c r="F89" i="44" s="1"/>
  <c r="K6" i="53"/>
  <c r="Q8" i="53"/>
  <c r="I68" i="44"/>
  <c r="I91" i="44" s="1"/>
  <c r="N8" i="53"/>
  <c r="J68" i="44"/>
  <c r="J91" i="44" s="1"/>
  <c r="O8" i="53"/>
  <c r="K68" i="44"/>
  <c r="K91" i="44" s="1"/>
  <c r="P8" i="53"/>
  <c r="L68" i="44"/>
  <c r="L91" i="44" s="1"/>
  <c r="M68" i="44"/>
  <c r="M91" i="44" s="1"/>
  <c r="E167" i="62"/>
  <c r="D168" i="62"/>
  <c r="D169" i="62" s="1"/>
  <c r="D170" i="62" s="1"/>
  <c r="F185" i="62"/>
  <c r="F186" i="62" s="1"/>
  <c r="F187" i="62" s="1"/>
  <c r="F188" i="62" s="1"/>
  <c r="F177" i="62"/>
  <c r="F178" i="62" s="1"/>
  <c r="F179" i="62" s="1"/>
  <c r="F180" i="62" s="1"/>
  <c r="I37" i="57"/>
  <c r="D64" i="13" s="1"/>
  <c r="E143" i="62"/>
  <c r="D144" i="62"/>
  <c r="D145" i="62" s="1"/>
  <c r="D146" i="62" s="1"/>
  <c r="E131" i="62"/>
  <c r="D132" i="62"/>
  <c r="E155" i="62"/>
  <c r="D156" i="62"/>
  <c r="D157" i="62" s="1"/>
  <c r="D158" i="62" s="1"/>
  <c r="P172" i="30"/>
  <c r="E53" i="44"/>
  <c r="E89" i="44" s="1"/>
  <c r="S139" i="30"/>
  <c r="R148" i="30" s="1"/>
  <c r="R182" i="30" s="1"/>
  <c r="L6" i="53"/>
  <c r="I403" i="30"/>
  <c r="I23" i="44" s="1"/>
  <c r="Z46" i="27"/>
  <c r="AK46" i="27" s="1"/>
  <c r="I385" i="30"/>
  <c r="I5" i="44" s="1"/>
  <c r="I42" i="44" s="1"/>
  <c r="Z25" i="27"/>
  <c r="AK25" i="27" s="1"/>
  <c r="D60" i="44"/>
  <c r="Z17" i="27"/>
  <c r="AK17" i="27" s="1"/>
  <c r="I402" i="30"/>
  <c r="I22" i="44" s="1"/>
  <c r="D70" i="44" s="1"/>
  <c r="Z45" i="27"/>
  <c r="AK45" i="27" s="1"/>
  <c r="M407" i="30"/>
  <c r="M27" i="44" s="1"/>
  <c r="H75" i="44" s="1"/>
  <c r="AD33" i="27"/>
  <c r="AO33" i="27" s="1"/>
  <c r="M408" i="30"/>
  <c r="M28" i="44" s="1"/>
  <c r="AD34" i="27"/>
  <c r="AO34" i="27" s="1"/>
  <c r="N183" i="30"/>
  <c r="O179" i="30" s="1"/>
  <c r="N174" i="30"/>
  <c r="O170" i="30" s="1"/>
  <c r="O148" i="30"/>
  <c r="O182" i="30" s="1"/>
  <c r="T90" i="30"/>
  <c r="P148" i="30"/>
  <c r="P182" i="30" s="1"/>
  <c r="J356" i="30"/>
  <c r="O287" i="30"/>
  <c r="O288" i="30" s="1"/>
  <c r="J361" i="30" s="1"/>
  <c r="U135" i="30"/>
  <c r="D153" i="30"/>
  <c r="D155" i="30" s="1"/>
  <c r="D263" i="30" s="1"/>
  <c r="P88" i="30"/>
  <c r="Q88" i="30" s="1"/>
  <c r="R89" i="30"/>
  <c r="S89" i="30" s="1"/>
  <c r="T89" i="30" s="1"/>
  <c r="U89" i="30" s="1"/>
  <c r="R326" i="30"/>
  <c r="Q148" i="30"/>
  <c r="Q182" i="30" s="1"/>
  <c r="H51" i="58" l="1"/>
  <c r="H8" i="68" s="1"/>
  <c r="D51" i="58"/>
  <c r="D8" i="68" s="1"/>
  <c r="G51" i="58"/>
  <c r="G8" i="68" s="1"/>
  <c r="F51" i="58"/>
  <c r="F8" i="68" s="1"/>
  <c r="E51" i="58"/>
  <c r="E8" i="68" s="1"/>
  <c r="H89" i="44"/>
  <c r="M42" i="44"/>
  <c r="M6" i="53" s="1"/>
  <c r="AH42" i="27"/>
  <c r="AS42" i="27" s="1"/>
  <c r="AF42" i="27"/>
  <c r="AQ42" i="27" s="1"/>
  <c r="AI42" i="27"/>
  <c r="AT42" i="27" s="1"/>
  <c r="AE41" i="27"/>
  <c r="AP41" i="27" s="1"/>
  <c r="AG42" i="27"/>
  <c r="AR42" i="27" s="1"/>
  <c r="AE42" i="27"/>
  <c r="AP42" i="27" s="1"/>
  <c r="I6" i="53"/>
  <c r="F155" i="62"/>
  <c r="E156" i="62"/>
  <c r="E157" i="62" s="1"/>
  <c r="E158" i="62" s="1"/>
  <c r="F143" i="62"/>
  <c r="E144" i="62"/>
  <c r="E145" i="62" s="1"/>
  <c r="E146" i="62" s="1"/>
  <c r="D133" i="62"/>
  <c r="D134" i="62" s="1"/>
  <c r="F131" i="62"/>
  <c r="E132" i="62"/>
  <c r="E133" i="62" s="1"/>
  <c r="E134" i="62" s="1"/>
  <c r="F167" i="62"/>
  <c r="E168" i="62"/>
  <c r="E169" i="62" s="1"/>
  <c r="E170" i="62" s="1"/>
  <c r="N184" i="30"/>
  <c r="H424" i="30"/>
  <c r="D53" i="44"/>
  <c r="D89" i="44" s="1"/>
  <c r="J403" i="30"/>
  <c r="J23" i="44" s="1"/>
  <c r="AA46" i="27"/>
  <c r="AL46" i="27" s="1"/>
  <c r="J398" i="30"/>
  <c r="J18" i="44" s="1"/>
  <c r="E66" i="44" s="1"/>
  <c r="AA40" i="27"/>
  <c r="AL40" i="27" s="1"/>
  <c r="D71" i="44"/>
  <c r="B39" i="53"/>
  <c r="D235" i="30"/>
  <c r="X319" i="30"/>
  <c r="H332" i="30"/>
  <c r="R366" i="30" s="1"/>
  <c r="R407" i="30" s="1"/>
  <c r="R27" i="44" s="1"/>
  <c r="R42" i="44" s="1"/>
  <c r="X318" i="30"/>
  <c r="G332" i="30"/>
  <c r="Q366" i="30" s="1"/>
  <c r="Q407" i="30" s="1"/>
  <c r="Q27" i="44" s="1"/>
  <c r="Q42" i="44" s="1"/>
  <c r="W318" i="30"/>
  <c r="U316" i="30"/>
  <c r="V316" i="30"/>
  <c r="E332" i="30"/>
  <c r="O366" i="30" s="1"/>
  <c r="O407" i="30" s="1"/>
  <c r="O27" i="44" s="1"/>
  <c r="O42" i="44" s="1"/>
  <c r="W316" i="30"/>
  <c r="X316" i="30"/>
  <c r="V317" i="30"/>
  <c r="W317" i="30"/>
  <c r="F332" i="30"/>
  <c r="P366" i="30" s="1"/>
  <c r="P407" i="30" s="1"/>
  <c r="P27" i="44" s="1"/>
  <c r="P42" i="44" s="1"/>
  <c r="X317" i="30"/>
  <c r="H76" i="44"/>
  <c r="N175" i="30"/>
  <c r="O183" i="30"/>
  <c r="P179" i="30" s="1"/>
  <c r="P183" i="30" s="1"/>
  <c r="Q179" i="30" s="1"/>
  <c r="R88" i="30"/>
  <c r="P101" i="30"/>
  <c r="P173" i="30" s="1"/>
  <c r="V135" i="30"/>
  <c r="E153" i="30"/>
  <c r="E155" i="30" s="1"/>
  <c r="E263" i="30" s="1"/>
  <c r="M368" i="30"/>
  <c r="R327" i="30"/>
  <c r="M369" i="30" s="1"/>
  <c r="D331" i="30"/>
  <c r="N365" i="30" s="1"/>
  <c r="N406" i="30" s="1"/>
  <c r="N26" i="44" s="1"/>
  <c r="I74" i="44" s="1"/>
  <c r="AE32" i="27" s="1"/>
  <c r="AP32" i="27" s="1"/>
  <c r="P283" i="30"/>
  <c r="J360" i="30"/>
  <c r="U90" i="30"/>
  <c r="O101" i="30"/>
  <c r="O173" i="30" s="1"/>
  <c r="F71" i="68" l="1"/>
  <c r="G71" i="68"/>
  <c r="E71" i="68"/>
  <c r="H71" i="68"/>
  <c r="D71" i="68"/>
  <c r="I8" i="68"/>
  <c r="I51" i="58"/>
  <c r="G167" i="62"/>
  <c r="F168" i="62"/>
  <c r="G131" i="62"/>
  <c r="F132" i="62"/>
  <c r="F133" i="62" s="1"/>
  <c r="F134" i="62" s="1"/>
  <c r="G143" i="62"/>
  <c r="F144" i="62"/>
  <c r="F145" i="62" s="1"/>
  <c r="F146" i="62" s="1"/>
  <c r="G155" i="62"/>
  <c r="F156" i="62"/>
  <c r="J402" i="30"/>
  <c r="J22" i="44" s="1"/>
  <c r="E70" i="44" s="1"/>
  <c r="AA45" i="27"/>
  <c r="AL45" i="27" s="1"/>
  <c r="E71" i="44"/>
  <c r="C39" i="53"/>
  <c r="M410" i="30"/>
  <c r="M30" i="44" s="1"/>
  <c r="AD36" i="27"/>
  <c r="AO36" i="27" s="1"/>
  <c r="M409" i="30"/>
  <c r="M29" i="44" s="1"/>
  <c r="H77" i="44" s="1"/>
  <c r="AD35" i="27"/>
  <c r="AO35" i="27" s="1"/>
  <c r="AO37" i="27" s="1"/>
  <c r="O174" i="30"/>
  <c r="P170" i="30" s="1"/>
  <c r="P174" i="30" s="1"/>
  <c r="Q170" i="30" s="1"/>
  <c r="X315" i="30"/>
  <c r="H333" i="30" s="1"/>
  <c r="R367" i="30" s="1"/>
  <c r="U315" i="30"/>
  <c r="E333" i="30" s="1"/>
  <c r="O367" i="30" s="1"/>
  <c r="W315" i="30"/>
  <c r="G333" i="30" s="1"/>
  <c r="Q367" i="30" s="1"/>
  <c r="T315" i="30"/>
  <c r="D333" i="30" s="1"/>
  <c r="N367" i="30" s="1"/>
  <c r="V315" i="30"/>
  <c r="F333" i="30" s="1"/>
  <c r="P367" i="30" s="1"/>
  <c r="D332" i="30"/>
  <c r="N366" i="30" s="1"/>
  <c r="N407" i="30" s="1"/>
  <c r="N27" i="44" s="1"/>
  <c r="N42" i="44" s="1"/>
  <c r="K75" i="44"/>
  <c r="K89" i="44" s="1"/>
  <c r="P6" i="53"/>
  <c r="R6" i="53"/>
  <c r="M75" i="44"/>
  <c r="M89" i="44" s="1"/>
  <c r="O6" i="53"/>
  <c r="J75" i="44"/>
  <c r="J89" i="44" s="1"/>
  <c r="L75" i="44"/>
  <c r="L89" i="44" s="1"/>
  <c r="Q6" i="53"/>
  <c r="O184" i="30"/>
  <c r="Q183" i="30"/>
  <c r="R179" i="30" s="1"/>
  <c r="P287" i="30"/>
  <c r="K356" i="30"/>
  <c r="P184" i="30"/>
  <c r="V90" i="30"/>
  <c r="W135" i="30"/>
  <c r="F153" i="30"/>
  <c r="F155" i="30" s="1"/>
  <c r="F263" i="30" s="1"/>
  <c r="S88" i="30"/>
  <c r="Q101" i="30"/>
  <c r="Q173" i="30" s="1"/>
  <c r="I71" i="68" l="1"/>
  <c r="F157" i="62"/>
  <c r="F158" i="62" s="1"/>
  <c r="H155" i="62"/>
  <c r="H156" i="62" s="1"/>
  <c r="H157" i="62" s="1"/>
  <c r="H158" i="62" s="1"/>
  <c r="G156" i="62"/>
  <c r="G157" i="62" s="1"/>
  <c r="G158" i="62" s="1"/>
  <c r="H131" i="62"/>
  <c r="H132" i="62" s="1"/>
  <c r="H133" i="62" s="1"/>
  <c r="H134" i="62" s="1"/>
  <c r="G132" i="62"/>
  <c r="F169" i="62"/>
  <c r="F170" i="62" s="1"/>
  <c r="H143" i="62"/>
  <c r="H144" i="62" s="1"/>
  <c r="H145" i="62" s="1"/>
  <c r="H146" i="62" s="1"/>
  <c r="G144" i="62"/>
  <c r="G145" i="62" s="1"/>
  <c r="G146" i="62" s="1"/>
  <c r="H167" i="62"/>
  <c r="H168" i="62" s="1"/>
  <c r="H169" i="62" s="1"/>
  <c r="H170" i="62" s="1"/>
  <c r="G168" i="62"/>
  <c r="G169" i="62" s="1"/>
  <c r="G170" i="62" s="1"/>
  <c r="N408" i="30"/>
  <c r="N28" i="44" s="1"/>
  <c r="I76" i="44" s="1"/>
  <c r="AE34" i="27" s="1"/>
  <c r="AP34" i="27" s="1"/>
  <c r="D40" i="58"/>
  <c r="D43" i="68" s="1"/>
  <c r="O408" i="30"/>
  <c r="O28" i="44" s="1"/>
  <c r="J76" i="44" s="1"/>
  <c r="AF34" i="27" s="1"/>
  <c r="AQ34" i="27" s="1"/>
  <c r="E40" i="58"/>
  <c r="E43" i="68" s="1"/>
  <c r="Q408" i="30"/>
  <c r="Q28" i="44" s="1"/>
  <c r="L76" i="44" s="1"/>
  <c r="AH34" i="27" s="1"/>
  <c r="AS34" i="27" s="1"/>
  <c r="G40" i="58"/>
  <c r="G43" i="68" s="1"/>
  <c r="P408" i="30"/>
  <c r="K424" i="30" s="1"/>
  <c r="F40" i="58"/>
  <c r="F43" i="68" s="1"/>
  <c r="R408" i="30"/>
  <c r="M424" i="30" s="1"/>
  <c r="H40" i="58"/>
  <c r="H43" i="68" s="1"/>
  <c r="O175" i="30"/>
  <c r="K398" i="30"/>
  <c r="K18" i="44" s="1"/>
  <c r="F66" i="44" s="1"/>
  <c r="AB40" i="27"/>
  <c r="AM40" i="27" s="1"/>
  <c r="H78" i="44"/>
  <c r="F40" i="53"/>
  <c r="AH33" i="27"/>
  <c r="AS33" i="27" s="1"/>
  <c r="AI33" i="27"/>
  <c r="AT33" i="27" s="1"/>
  <c r="AG33" i="27"/>
  <c r="AR33" i="27" s="1"/>
  <c r="AF33" i="27"/>
  <c r="AQ33" i="27" s="1"/>
  <c r="I75" i="44"/>
  <c r="I89" i="44" s="1"/>
  <c r="N6" i="53"/>
  <c r="D334" i="30"/>
  <c r="D335" i="30" s="1"/>
  <c r="D9" i="34" s="1"/>
  <c r="Q184" i="30"/>
  <c r="R183" i="30"/>
  <c r="X135" i="30"/>
  <c r="H153" i="30" s="1"/>
  <c r="H155" i="30" s="1"/>
  <c r="H263" i="30" s="1"/>
  <c r="G153" i="30"/>
  <c r="G155" i="30" s="1"/>
  <c r="G263" i="30" s="1"/>
  <c r="P288" i="30"/>
  <c r="K361" i="30" s="1"/>
  <c r="Q283" i="30"/>
  <c r="K360" i="30"/>
  <c r="T88" i="30"/>
  <c r="D104" i="30" s="1"/>
  <c r="D106" i="30" s="1"/>
  <c r="D255" i="30" s="1"/>
  <c r="R101" i="30"/>
  <c r="Q174" i="30"/>
  <c r="R170" i="30" s="1"/>
  <c r="P175" i="30"/>
  <c r="I43" i="68" l="1"/>
  <c r="I424" i="30"/>
  <c r="J424" i="30"/>
  <c r="G133" i="62"/>
  <c r="G134" i="62" s="1"/>
  <c r="R28" i="44"/>
  <c r="M76" i="44" s="1"/>
  <c r="AI34" i="27" s="1"/>
  <c r="AT34" i="27" s="1"/>
  <c r="P28" i="44"/>
  <c r="K76" i="44" s="1"/>
  <c r="AG34" i="27" s="1"/>
  <c r="AR34" i="27" s="1"/>
  <c r="L424" i="30"/>
  <c r="I40" i="58"/>
  <c r="K402" i="30"/>
  <c r="K22" i="44" s="1"/>
  <c r="F70" i="44" s="1"/>
  <c r="AB45" i="27"/>
  <c r="AM45" i="27" s="1"/>
  <c r="K403" i="30"/>
  <c r="K23" i="44" s="1"/>
  <c r="AB46" i="27"/>
  <c r="AM46" i="27" s="1"/>
  <c r="AE33" i="27"/>
  <c r="AP33" i="27" s="1"/>
  <c r="R173" i="30"/>
  <c r="D234" i="30" s="1"/>
  <c r="E331" i="30"/>
  <c r="D17" i="34"/>
  <c r="N369" i="30"/>
  <c r="N410" i="30" s="1"/>
  <c r="D24" i="34"/>
  <c r="N368" i="30"/>
  <c r="N409" i="30" s="1"/>
  <c r="N29" i="44" s="1"/>
  <c r="I77" i="44" s="1"/>
  <c r="AE35" i="27" s="1"/>
  <c r="AP35" i="27" s="1"/>
  <c r="Q175" i="30"/>
  <c r="L356" i="30"/>
  <c r="Q287" i="30"/>
  <c r="R184" i="30"/>
  <c r="O71" i="17"/>
  <c r="N71" i="17"/>
  <c r="M71" i="17"/>
  <c r="L71" i="17"/>
  <c r="K71" i="17"/>
  <c r="J71" i="17"/>
  <c r="I71" i="17"/>
  <c r="H71" i="17"/>
  <c r="G71" i="17"/>
  <c r="F71" i="17"/>
  <c r="O63" i="17"/>
  <c r="N63" i="17"/>
  <c r="M63" i="17"/>
  <c r="L63" i="17"/>
  <c r="K63" i="17"/>
  <c r="J63" i="17"/>
  <c r="I63" i="17"/>
  <c r="H63" i="17"/>
  <c r="G63" i="17"/>
  <c r="F63" i="17"/>
  <c r="O37" i="17"/>
  <c r="N37" i="17"/>
  <c r="M37" i="17"/>
  <c r="L37" i="17"/>
  <c r="K37" i="17"/>
  <c r="J37" i="17"/>
  <c r="I37" i="17"/>
  <c r="H37" i="17"/>
  <c r="G37" i="17"/>
  <c r="F37" i="17"/>
  <c r="O26" i="17"/>
  <c r="N26" i="17"/>
  <c r="M26" i="17"/>
  <c r="L26" i="17"/>
  <c r="K26" i="17"/>
  <c r="J26" i="17"/>
  <c r="I26" i="17"/>
  <c r="H26" i="17"/>
  <c r="G26" i="17"/>
  <c r="F26" i="17"/>
  <c r="I39" i="17" l="1"/>
  <c r="I65" i="17" s="1"/>
  <c r="I73" i="17" s="1"/>
  <c r="M39" i="17"/>
  <c r="M65" i="17" s="1"/>
  <c r="M73" i="17" s="1"/>
  <c r="H39" i="17"/>
  <c r="H65" i="17" s="1"/>
  <c r="H73" i="17" s="1"/>
  <c r="L39" i="17"/>
  <c r="L65" i="17" s="1"/>
  <c r="L73" i="17" s="1"/>
  <c r="N30" i="44"/>
  <c r="I78" i="44" s="1"/>
  <c r="AE36" i="27" s="1"/>
  <c r="AP36" i="27" s="1"/>
  <c r="M9" i="34"/>
  <c r="D190" i="30"/>
  <c r="F71" i="44"/>
  <c r="D39" i="53"/>
  <c r="R174" i="30"/>
  <c r="R175" i="30" s="1"/>
  <c r="L398" i="30"/>
  <c r="L18" i="44" s="1"/>
  <c r="G66" i="44" s="1"/>
  <c r="AC40" i="27"/>
  <c r="AN40" i="27" s="1"/>
  <c r="AP37" i="27"/>
  <c r="D31" i="34"/>
  <c r="O365" i="30"/>
  <c r="O406" i="30" s="1"/>
  <c r="O26" i="44" s="1"/>
  <c r="J74" i="44" s="1"/>
  <c r="AF32" i="27" s="1"/>
  <c r="AQ32" i="27" s="1"/>
  <c r="E334" i="30"/>
  <c r="F39" i="17"/>
  <c r="F65" i="17" s="1"/>
  <c r="F73" i="17" s="1"/>
  <c r="J39" i="17"/>
  <c r="J65" i="17" s="1"/>
  <c r="J73" i="17" s="1"/>
  <c r="N39" i="17"/>
  <c r="N65" i="17" s="1"/>
  <c r="N73" i="17" s="1"/>
  <c r="G39" i="17"/>
  <c r="G65" i="17" s="1"/>
  <c r="G73" i="17" s="1"/>
  <c r="K39" i="17"/>
  <c r="K65" i="17" s="1"/>
  <c r="K73" i="17" s="1"/>
  <c r="O39" i="17"/>
  <c r="O65" i="17" s="1"/>
  <c r="O73" i="17" s="1"/>
  <c r="Q288" i="30"/>
  <c r="L361" i="30" s="1"/>
  <c r="R283" i="30"/>
  <c r="L360" i="30"/>
  <c r="G104" i="30"/>
  <c r="G106" i="30" s="1"/>
  <c r="G255" i="30" s="1"/>
  <c r="F104" i="30"/>
  <c r="F106" i="30" s="1"/>
  <c r="F255" i="30" s="1"/>
  <c r="E104" i="30"/>
  <c r="E106" i="30" s="1"/>
  <c r="E255" i="30" s="1"/>
  <c r="F199" i="30" l="1"/>
  <c r="E199" i="30"/>
  <c r="H199" i="30"/>
  <c r="H204" i="30" s="1"/>
  <c r="H209" i="30" s="1"/>
  <c r="R220" i="30" s="1"/>
  <c r="M342" i="30" s="1"/>
  <c r="M386" i="30" s="1"/>
  <c r="M6" i="44" s="1"/>
  <c r="D199" i="30"/>
  <c r="D204" i="30" s="1"/>
  <c r="G199" i="30"/>
  <c r="G40" i="53"/>
  <c r="D47" i="58"/>
  <c r="D191" i="30"/>
  <c r="G204" i="30"/>
  <c r="G209" i="30" s="1"/>
  <c r="Q220" i="30" s="1"/>
  <c r="L342" i="30" s="1"/>
  <c r="AC26" i="27" s="1"/>
  <c r="AN26" i="27" s="1"/>
  <c r="F204" i="30"/>
  <c r="F209" i="30" s="1"/>
  <c r="P220" i="30" s="1"/>
  <c r="K342" i="30" s="1"/>
  <c r="K386" i="30" s="1"/>
  <c r="K6" i="44" s="1"/>
  <c r="E204" i="30"/>
  <c r="E209" i="30" s="1"/>
  <c r="O220" i="30" s="1"/>
  <c r="J342" i="30" s="1"/>
  <c r="AA26" i="27" s="1"/>
  <c r="AL26" i="27" s="1"/>
  <c r="L403" i="30"/>
  <c r="L23" i="44" s="1"/>
  <c r="AC46" i="27"/>
  <c r="AN46" i="27" s="1"/>
  <c r="L402" i="30"/>
  <c r="L22" i="44" s="1"/>
  <c r="G70" i="44" s="1"/>
  <c r="AC45" i="27"/>
  <c r="AN45" i="27" s="1"/>
  <c r="E335" i="30"/>
  <c r="O368" i="30"/>
  <c r="O409" i="30" s="1"/>
  <c r="O29" i="44" s="1"/>
  <c r="J77" i="44" s="1"/>
  <c r="AF35" i="27" s="1"/>
  <c r="AQ35" i="27" s="1"/>
  <c r="AQ37" i="27" s="1"/>
  <c r="F331" i="30"/>
  <c r="H104" i="30"/>
  <c r="H106" i="30" s="1"/>
  <c r="H255" i="30" s="1"/>
  <c r="R287" i="30"/>
  <c r="M356" i="30"/>
  <c r="E200" i="30" l="1"/>
  <c r="E205" i="30" s="1"/>
  <c r="E210" i="30" s="1"/>
  <c r="O228" i="30" s="1"/>
  <c r="J350" i="30" s="1"/>
  <c r="J393" i="30" s="1"/>
  <c r="H200" i="30"/>
  <c r="H205" i="30" s="1"/>
  <c r="H210" i="30" s="1"/>
  <c r="R228" i="30" s="1"/>
  <c r="M350" i="30" s="1"/>
  <c r="M393" i="30" s="1"/>
  <c r="M13" i="44" s="1"/>
  <c r="M43" i="44" s="1"/>
  <c r="D200" i="30"/>
  <c r="D205" i="30" s="1"/>
  <c r="G200" i="30"/>
  <c r="G205" i="30" s="1"/>
  <c r="G210" i="30" s="1"/>
  <c r="Q228" i="30" s="1"/>
  <c r="L350" i="30" s="1"/>
  <c r="L393" i="30" s="1"/>
  <c r="G423" i="30" s="1"/>
  <c r="F200" i="30"/>
  <c r="F205" i="30" s="1"/>
  <c r="F210" i="30" s="1"/>
  <c r="P228" i="30" s="1"/>
  <c r="K350" i="30" s="1"/>
  <c r="K393" i="30" s="1"/>
  <c r="K13" i="44" s="1"/>
  <c r="K43" i="44" s="1"/>
  <c r="AD26" i="27"/>
  <c r="AO26" i="27" s="1"/>
  <c r="L386" i="30"/>
  <c r="G422" i="30" s="1"/>
  <c r="J386" i="30"/>
  <c r="E422" i="30" s="1"/>
  <c r="AB26" i="27"/>
  <c r="AM26" i="27" s="1"/>
  <c r="I199" i="30"/>
  <c r="F422" i="30"/>
  <c r="H422" i="30"/>
  <c r="M398" i="30"/>
  <c r="M18" i="44" s="1"/>
  <c r="H66" i="44" s="1"/>
  <c r="AD40" i="27"/>
  <c r="AO40" i="27" s="1"/>
  <c r="G71" i="44"/>
  <c r="E39" i="53"/>
  <c r="D209" i="30"/>
  <c r="I204" i="30"/>
  <c r="H54" i="44"/>
  <c r="F54" i="44"/>
  <c r="F334" i="30"/>
  <c r="P365" i="30"/>
  <c r="P406" i="30" s="1"/>
  <c r="P26" i="44" s="1"/>
  <c r="K74" i="44" s="1"/>
  <c r="AG32" i="27" s="1"/>
  <c r="AR32" i="27" s="1"/>
  <c r="E9" i="34"/>
  <c r="O369" i="30"/>
  <c r="O410" i="30" s="1"/>
  <c r="R288" i="30"/>
  <c r="M361" i="30" s="1"/>
  <c r="M360" i="30"/>
  <c r="D292" i="30"/>
  <c r="N70" i="15"/>
  <c r="M70" i="15"/>
  <c r="L70" i="15"/>
  <c r="K70" i="15"/>
  <c r="J70" i="15"/>
  <c r="I70" i="15"/>
  <c r="H70" i="15"/>
  <c r="G70" i="15"/>
  <c r="F70" i="15"/>
  <c r="E70" i="15"/>
  <c r="N52" i="15"/>
  <c r="M52" i="15"/>
  <c r="L52" i="15"/>
  <c r="K52" i="15"/>
  <c r="J52" i="15"/>
  <c r="I52" i="15"/>
  <c r="H52" i="15"/>
  <c r="G52" i="15"/>
  <c r="F52" i="15"/>
  <c r="E52" i="15"/>
  <c r="N42" i="15"/>
  <c r="M42" i="15"/>
  <c r="L42" i="15"/>
  <c r="K42" i="15"/>
  <c r="J42" i="15"/>
  <c r="I42" i="15"/>
  <c r="H42" i="15"/>
  <c r="G42" i="15"/>
  <c r="F42" i="15"/>
  <c r="E42" i="15"/>
  <c r="N32" i="15"/>
  <c r="M32" i="15"/>
  <c r="L32" i="15"/>
  <c r="K32" i="15"/>
  <c r="J32" i="15"/>
  <c r="I32" i="15"/>
  <c r="H32" i="15"/>
  <c r="G32" i="15"/>
  <c r="F32" i="15"/>
  <c r="E32" i="15"/>
  <c r="N25" i="15"/>
  <c r="M25" i="15"/>
  <c r="L25" i="15"/>
  <c r="K25" i="15"/>
  <c r="J25" i="15"/>
  <c r="I25" i="15"/>
  <c r="H25" i="15"/>
  <c r="G25" i="15"/>
  <c r="F25" i="15"/>
  <c r="E25" i="15"/>
  <c r="N18" i="15"/>
  <c r="M18" i="15"/>
  <c r="M55" i="15" s="1"/>
  <c r="M62" i="15" s="1"/>
  <c r="L18" i="15"/>
  <c r="K18" i="15"/>
  <c r="J18" i="15"/>
  <c r="I18" i="15"/>
  <c r="I55" i="15" s="1"/>
  <c r="I62" i="15" s="1"/>
  <c r="H18" i="15"/>
  <c r="G18" i="15"/>
  <c r="F18" i="15"/>
  <c r="E18" i="15"/>
  <c r="O41" i="14"/>
  <c r="O44" i="14" s="1"/>
  <c r="N41" i="14"/>
  <c r="N44" i="14" s="1"/>
  <c r="M41" i="14"/>
  <c r="M44" i="14" s="1"/>
  <c r="L41" i="14"/>
  <c r="L44" i="14" s="1"/>
  <c r="K41" i="14"/>
  <c r="K44" i="14" s="1"/>
  <c r="J41" i="14"/>
  <c r="J44" i="14" s="1"/>
  <c r="I41" i="14"/>
  <c r="I44" i="14" s="1"/>
  <c r="H41" i="14"/>
  <c r="H44" i="14" s="1"/>
  <c r="G41" i="14"/>
  <c r="G44" i="14" s="1"/>
  <c r="F41" i="14"/>
  <c r="F44" i="14" s="1"/>
  <c r="I33" i="14"/>
  <c r="H33" i="14"/>
  <c r="G33" i="14"/>
  <c r="J32" i="14"/>
  <c r="K32" i="14" s="1"/>
  <c r="L32" i="14" s="1"/>
  <c r="M32" i="14" s="1"/>
  <c r="N32" i="14" s="1"/>
  <c r="O32" i="14" s="1"/>
  <c r="O30" i="14"/>
  <c r="N30" i="14"/>
  <c r="M30" i="14"/>
  <c r="L30" i="14"/>
  <c r="K30" i="14"/>
  <c r="J30" i="14"/>
  <c r="I30" i="14"/>
  <c r="H30" i="14"/>
  <c r="G30" i="14"/>
  <c r="O27" i="14"/>
  <c r="N27" i="14"/>
  <c r="M27" i="14"/>
  <c r="L27" i="14"/>
  <c r="K27" i="14"/>
  <c r="J27" i="14"/>
  <c r="I27" i="14"/>
  <c r="H27" i="14"/>
  <c r="G27" i="14"/>
  <c r="K23" i="14"/>
  <c r="K22" i="14"/>
  <c r="K20" i="14"/>
  <c r="K19" i="14"/>
  <c r="O16" i="14"/>
  <c r="N16" i="14"/>
  <c r="M16" i="14"/>
  <c r="L16" i="14"/>
  <c r="K16" i="14"/>
  <c r="O15" i="14"/>
  <c r="N15" i="14"/>
  <c r="M15" i="14"/>
  <c r="L15" i="14"/>
  <c r="K15" i="14"/>
  <c r="K13" i="14"/>
  <c r="J13" i="44" l="1"/>
  <c r="E423" i="30"/>
  <c r="E426" i="30" s="1"/>
  <c r="G55" i="15"/>
  <c r="G62" i="15" s="1"/>
  <c r="K55" i="15"/>
  <c r="K62" i="15" s="1"/>
  <c r="G426" i="30"/>
  <c r="O30" i="44"/>
  <c r="J78" i="44" s="1"/>
  <c r="AF36" i="27" s="1"/>
  <c r="AQ36" i="27" s="1"/>
  <c r="N9" i="34"/>
  <c r="F423" i="30"/>
  <c r="F426" i="30" s="1"/>
  <c r="L6" i="44"/>
  <c r="H423" i="30"/>
  <c r="H426" i="30" s="1"/>
  <c r="J6" i="44"/>
  <c r="J43" i="44" s="1"/>
  <c r="L13" i="44"/>
  <c r="G61" i="44" s="1"/>
  <c r="I200" i="30"/>
  <c r="M403" i="30"/>
  <c r="M23" i="44" s="1"/>
  <c r="AD46" i="27"/>
  <c r="AO46" i="27" s="1"/>
  <c r="M402" i="30"/>
  <c r="M22" i="44" s="1"/>
  <c r="H70" i="44" s="1"/>
  <c r="AD45" i="27"/>
  <c r="AO45" i="27" s="1"/>
  <c r="F61" i="44"/>
  <c r="F90" i="44" s="1"/>
  <c r="AB18" i="27"/>
  <c r="AM18" i="27" s="1"/>
  <c r="H61" i="44"/>
  <c r="H90" i="44" s="1"/>
  <c r="AD18" i="27"/>
  <c r="AO18" i="27" s="1"/>
  <c r="E61" i="44"/>
  <c r="AA18" i="27"/>
  <c r="AL18" i="27" s="1"/>
  <c r="K7" i="53"/>
  <c r="M7" i="53"/>
  <c r="N220" i="30"/>
  <c r="I209" i="30"/>
  <c r="E234" i="30" s="1"/>
  <c r="F234" i="30" s="1"/>
  <c r="D210" i="30"/>
  <c r="I205" i="30"/>
  <c r="E24" i="34"/>
  <c r="E17" i="34"/>
  <c r="F335" i="30"/>
  <c r="P368" i="30"/>
  <c r="P409" i="30" s="1"/>
  <c r="P29" i="44" s="1"/>
  <c r="K77" i="44" s="1"/>
  <c r="AG35" i="27" s="1"/>
  <c r="AR35" i="27" s="1"/>
  <c r="AR37" i="27" s="1"/>
  <c r="G331" i="30"/>
  <c r="F55" i="15"/>
  <c r="F62" i="15" s="1"/>
  <c r="J55" i="15"/>
  <c r="J62" i="15" s="1"/>
  <c r="N55" i="15"/>
  <c r="N62" i="15" s="1"/>
  <c r="H55" i="15"/>
  <c r="H62" i="15" s="1"/>
  <c r="L55" i="15"/>
  <c r="L62" i="15" s="1"/>
  <c r="N356" i="30"/>
  <c r="N398" i="30" s="1"/>
  <c r="N18" i="44" s="1"/>
  <c r="I66" i="44" s="1"/>
  <c r="AE40" i="27" s="1"/>
  <c r="AP40" i="27" s="1"/>
  <c r="D296" i="30"/>
  <c r="E55" i="15"/>
  <c r="E62" i="15" s="1"/>
  <c r="L43" i="44" l="1"/>
  <c r="L7" i="53" s="1"/>
  <c r="G54" i="44"/>
  <c r="G90" i="44" s="1"/>
  <c r="E54" i="44"/>
  <c r="E90" i="44" s="1"/>
  <c r="J7" i="53"/>
  <c r="H40" i="53"/>
  <c r="AC18" i="27"/>
  <c r="AN18" i="27" s="1"/>
  <c r="H71" i="44"/>
  <c r="F39" i="53"/>
  <c r="N228" i="30"/>
  <c r="I210" i="30"/>
  <c r="E235" i="30" s="1"/>
  <c r="F235" i="30" s="1"/>
  <c r="N221" i="30"/>
  <c r="I342" i="30"/>
  <c r="E31" i="34"/>
  <c r="F9" i="34"/>
  <c r="P369" i="30"/>
  <c r="P410" i="30" s="1"/>
  <c r="Q365" i="30"/>
  <c r="Q406" i="30" s="1"/>
  <c r="Q26" i="44" s="1"/>
  <c r="L74" i="44" s="1"/>
  <c r="AH32" i="27" s="1"/>
  <c r="AS32" i="27" s="1"/>
  <c r="G334" i="30"/>
  <c r="D297" i="30"/>
  <c r="E292" i="30"/>
  <c r="N360" i="30"/>
  <c r="N402" i="30" s="1"/>
  <c r="N22" i="44" s="1"/>
  <c r="I70" i="44" s="1"/>
  <c r="AE45" i="27" s="1"/>
  <c r="AP45" i="27" s="1"/>
  <c r="E47" i="58" l="1"/>
  <c r="P30" i="44"/>
  <c r="I40" i="53" s="1"/>
  <c r="O9" i="34"/>
  <c r="I386" i="30"/>
  <c r="D422" i="30" s="1"/>
  <c r="Z26" i="27"/>
  <c r="AK26" i="27" s="1"/>
  <c r="N222" i="30"/>
  <c r="I344" i="30" s="1"/>
  <c r="O217" i="30"/>
  <c r="I343" i="30"/>
  <c r="N229" i="30"/>
  <c r="I350" i="30"/>
  <c r="I393" i="30" s="1"/>
  <c r="G335" i="30"/>
  <c r="H331" i="30"/>
  <c r="Q368" i="30"/>
  <c r="Q409" i="30" s="1"/>
  <c r="Q29" i="44" s="1"/>
  <c r="L77" i="44" s="1"/>
  <c r="AH35" i="27" s="1"/>
  <c r="AS35" i="27" s="1"/>
  <c r="AS37" i="27" s="1"/>
  <c r="F24" i="34"/>
  <c r="F17" i="34"/>
  <c r="D8" i="34"/>
  <c r="N361" i="30"/>
  <c r="N403" i="30" s="1"/>
  <c r="F239" i="30"/>
  <c r="O356" i="30"/>
  <c r="O398" i="30" s="1"/>
  <c r="O18" i="44" s="1"/>
  <c r="J66" i="44" s="1"/>
  <c r="AF40" i="27" s="1"/>
  <c r="AQ40" i="27" s="1"/>
  <c r="E296" i="30"/>
  <c r="E297" i="30" s="1"/>
  <c r="F240" i="30"/>
  <c r="K78" i="44" l="1"/>
  <c r="AG36" i="27" s="1"/>
  <c r="AR36" i="27" s="1"/>
  <c r="N23" i="44"/>
  <c r="I71" i="44" s="1"/>
  <c r="AE46" i="27" s="1"/>
  <c r="AP46" i="27" s="1"/>
  <c r="M8" i="34"/>
  <c r="I6" i="44"/>
  <c r="I387" i="30"/>
  <c r="I7" i="44" s="1"/>
  <c r="Z27" i="27"/>
  <c r="AK27" i="27" s="1"/>
  <c r="AK29" i="27" s="1"/>
  <c r="I388" i="30"/>
  <c r="I8" i="44" s="1"/>
  <c r="Z28" i="27"/>
  <c r="AK28" i="27" s="1"/>
  <c r="O221" i="30"/>
  <c r="O222" i="30" s="1"/>
  <c r="J344" i="30" s="1"/>
  <c r="J340" i="30"/>
  <c r="I13" i="44"/>
  <c r="D423" i="30"/>
  <c r="D426" i="30" s="1"/>
  <c r="N230" i="30"/>
  <c r="I352" i="30" s="1"/>
  <c r="I395" i="30" s="1"/>
  <c r="I15" i="44" s="1"/>
  <c r="B37" i="53" s="1"/>
  <c r="O225" i="30"/>
  <c r="I351" i="30"/>
  <c r="I394" i="30" s="1"/>
  <c r="I14" i="44" s="1"/>
  <c r="F31" i="34"/>
  <c r="R365" i="30"/>
  <c r="R406" i="30" s="1"/>
  <c r="R26" i="44" s="1"/>
  <c r="M74" i="44" s="1"/>
  <c r="AI32" i="27" s="1"/>
  <c r="AT32" i="27" s="1"/>
  <c r="H334" i="30"/>
  <c r="Q369" i="30"/>
  <c r="Q410" i="30" s="1"/>
  <c r="G9" i="34"/>
  <c r="E248" i="30"/>
  <c r="E264" i="30" s="1"/>
  <c r="O350" i="30" s="1"/>
  <c r="H248" i="30"/>
  <c r="H264" i="30" s="1"/>
  <c r="R350" i="30" s="1"/>
  <c r="D248" i="30"/>
  <c r="D264" i="30" s="1"/>
  <c r="N350" i="30" s="1"/>
  <c r="F248" i="30"/>
  <c r="F264" i="30" s="1"/>
  <c r="P350" i="30" s="1"/>
  <c r="G248" i="30"/>
  <c r="G264" i="30" s="1"/>
  <c r="Q350" i="30" s="1"/>
  <c r="E8" i="34"/>
  <c r="O361" i="30"/>
  <c r="O403" i="30" s="1"/>
  <c r="O360" i="30"/>
  <c r="O402" i="30" s="1"/>
  <c r="O22" i="44" s="1"/>
  <c r="J70" i="44" s="1"/>
  <c r="AF45" i="27" s="1"/>
  <c r="AQ45" i="27" s="1"/>
  <c r="F292" i="30"/>
  <c r="D247" i="30"/>
  <c r="D256" i="30" s="1"/>
  <c r="N342" i="30" s="1"/>
  <c r="H247" i="30"/>
  <c r="H256" i="30" s="1"/>
  <c r="R342" i="30" s="1"/>
  <c r="F247" i="30"/>
  <c r="F256" i="30" s="1"/>
  <c r="P342" i="30" s="1"/>
  <c r="E247" i="30"/>
  <c r="E256" i="30" s="1"/>
  <c r="O342" i="30" s="1"/>
  <c r="G247" i="30"/>
  <c r="G256" i="30" s="1"/>
  <c r="Q342" i="30" s="1"/>
  <c r="D25" i="34"/>
  <c r="D18" i="34"/>
  <c r="I43" i="44" l="1"/>
  <c r="I7" i="53" s="1"/>
  <c r="I47" i="44"/>
  <c r="I46" i="44"/>
  <c r="I10" i="53" s="1"/>
  <c r="B15" i="53" s="1"/>
  <c r="F47" i="58"/>
  <c r="G39" i="53"/>
  <c r="D54" i="44"/>
  <c r="D55" i="44"/>
  <c r="Q30" i="44"/>
  <c r="L78" i="44" s="1"/>
  <c r="AH36" i="27" s="1"/>
  <c r="AS36" i="27" s="1"/>
  <c r="P9" i="34"/>
  <c r="O23" i="44"/>
  <c r="H39" i="53" s="1"/>
  <c r="N8" i="34"/>
  <c r="O386" i="30"/>
  <c r="J422" i="30" s="1"/>
  <c r="E39" i="58"/>
  <c r="E42" i="68" s="1"/>
  <c r="Q393" i="30"/>
  <c r="L423" i="30" s="1"/>
  <c r="G38" i="58"/>
  <c r="G41" i="68" s="1"/>
  <c r="O393" i="30"/>
  <c r="O13" i="44" s="1"/>
  <c r="J61" i="44" s="1"/>
  <c r="AF18" i="27" s="1"/>
  <c r="AQ18" i="27" s="1"/>
  <c r="E38" i="58"/>
  <c r="E41" i="68" s="1"/>
  <c r="P393" i="30"/>
  <c r="P13" i="44" s="1"/>
  <c r="K61" i="44" s="1"/>
  <c r="AG18" i="27" s="1"/>
  <c r="AR18" i="27" s="1"/>
  <c r="F38" i="58"/>
  <c r="F41" i="68" s="1"/>
  <c r="R386" i="30"/>
  <c r="M422" i="30" s="1"/>
  <c r="H39" i="58"/>
  <c r="H42" i="68" s="1"/>
  <c r="N393" i="30"/>
  <c r="I423" i="30" s="1"/>
  <c r="D38" i="58"/>
  <c r="D41" i="68" s="1"/>
  <c r="P386" i="30"/>
  <c r="P6" i="44" s="1"/>
  <c r="F39" i="58"/>
  <c r="F42" i="68" s="1"/>
  <c r="Q386" i="30"/>
  <c r="L422" i="30" s="1"/>
  <c r="G39" i="58"/>
  <c r="G42" i="68" s="1"/>
  <c r="N386" i="30"/>
  <c r="N6" i="44" s="1"/>
  <c r="D39" i="58"/>
  <c r="D42" i="68" s="1"/>
  <c r="R393" i="30"/>
  <c r="M423" i="30" s="1"/>
  <c r="H38" i="58"/>
  <c r="H41" i="68" s="1"/>
  <c r="D56" i="44"/>
  <c r="B38" i="53"/>
  <c r="D61" i="44"/>
  <c r="Z18" i="27"/>
  <c r="AK18" i="27" s="1"/>
  <c r="D62" i="44"/>
  <c r="Z19" i="27"/>
  <c r="AK19" i="27" s="1"/>
  <c r="D63" i="44"/>
  <c r="Z20" i="27"/>
  <c r="AK20" i="27" s="1"/>
  <c r="J384" i="30"/>
  <c r="J4" i="44" s="1"/>
  <c r="AA24" i="27"/>
  <c r="AL24" i="27" s="1"/>
  <c r="J388" i="30"/>
  <c r="J8" i="44" s="1"/>
  <c r="AA28" i="27"/>
  <c r="AL28" i="27" s="1"/>
  <c r="I11" i="53"/>
  <c r="J348" i="30"/>
  <c r="J391" i="30" s="1"/>
  <c r="J11" i="44" s="1"/>
  <c r="O229" i="30"/>
  <c r="O230" i="30" s="1"/>
  <c r="J352" i="30" s="1"/>
  <c r="J395" i="30" s="1"/>
  <c r="J15" i="44" s="1"/>
  <c r="C37" i="53" s="1"/>
  <c r="J343" i="30"/>
  <c r="P217" i="30"/>
  <c r="R368" i="30"/>
  <c r="R409" i="30" s="1"/>
  <c r="R29" i="44" s="1"/>
  <c r="M77" i="44" s="1"/>
  <c r="AI35" i="27" s="1"/>
  <c r="AT35" i="27" s="1"/>
  <c r="AT37" i="27" s="1"/>
  <c r="H335" i="30"/>
  <c r="G17" i="34"/>
  <c r="G24" i="34"/>
  <c r="D32" i="34"/>
  <c r="P356" i="30"/>
  <c r="P398" i="30" s="1"/>
  <c r="P18" i="44" s="1"/>
  <c r="K66" i="44" s="1"/>
  <c r="AG40" i="27" s="1"/>
  <c r="AR40" i="27" s="1"/>
  <c r="F296" i="30"/>
  <c r="E25" i="34"/>
  <c r="E18" i="34"/>
  <c r="B20" i="53" l="1"/>
  <c r="B23" i="53" s="1"/>
  <c r="B17" i="53"/>
  <c r="J71" i="44"/>
  <c r="AF46" i="27" s="1"/>
  <c r="AQ46" i="27" s="1"/>
  <c r="P43" i="44"/>
  <c r="P7" i="53" s="1"/>
  <c r="D94" i="44"/>
  <c r="D90" i="44"/>
  <c r="D93" i="44"/>
  <c r="J47" i="44"/>
  <c r="J11" i="53" s="1"/>
  <c r="J41" i="44"/>
  <c r="J5" i="53" s="1"/>
  <c r="L426" i="30"/>
  <c r="I41" i="68"/>
  <c r="I42" i="68"/>
  <c r="J40" i="53"/>
  <c r="D48" i="58"/>
  <c r="M426" i="30"/>
  <c r="E52" i="44"/>
  <c r="I422" i="30"/>
  <c r="I426" i="30" s="1"/>
  <c r="R6" i="44"/>
  <c r="K422" i="30"/>
  <c r="J423" i="30"/>
  <c r="J426" i="30" s="1"/>
  <c r="O6" i="44"/>
  <c r="O43" i="44" s="1"/>
  <c r="E42" i="58"/>
  <c r="Q6" i="44"/>
  <c r="K423" i="30"/>
  <c r="Q13" i="44"/>
  <c r="L61" i="44" s="1"/>
  <c r="AH18" i="27" s="1"/>
  <c r="AS18" i="27" s="1"/>
  <c r="F42" i="58"/>
  <c r="G42" i="58"/>
  <c r="R13" i="44"/>
  <c r="M61" i="44" s="1"/>
  <c r="AI18" i="27" s="1"/>
  <c r="AT18" i="27" s="1"/>
  <c r="I39" i="58"/>
  <c r="I38" i="58"/>
  <c r="D42" i="58"/>
  <c r="N13" i="44"/>
  <c r="I61" i="44" s="1"/>
  <c r="AE18" i="27" s="1"/>
  <c r="AP18" i="27" s="1"/>
  <c r="H42" i="58"/>
  <c r="E56" i="44"/>
  <c r="C38" i="53"/>
  <c r="E63" i="44"/>
  <c r="AA20" i="27"/>
  <c r="AL20" i="27" s="1"/>
  <c r="E59" i="44"/>
  <c r="AA16" i="27"/>
  <c r="AL16" i="27" s="1"/>
  <c r="AK21" i="27"/>
  <c r="J387" i="30"/>
  <c r="J7" i="44" s="1"/>
  <c r="AA27" i="27"/>
  <c r="AL27" i="27" s="1"/>
  <c r="AL29" i="27" s="1"/>
  <c r="J351" i="30"/>
  <c r="J394" i="30" s="1"/>
  <c r="J14" i="44" s="1"/>
  <c r="P225" i="30"/>
  <c r="P221" i="30"/>
  <c r="Q217" i="30" s="1"/>
  <c r="K340" i="30"/>
  <c r="H9" i="34"/>
  <c r="R369" i="30"/>
  <c r="R410" i="30" s="1"/>
  <c r="G31" i="34"/>
  <c r="I54" i="44"/>
  <c r="K54" i="44"/>
  <c r="K90" i="44" s="1"/>
  <c r="E32" i="34"/>
  <c r="G292" i="30"/>
  <c r="P360" i="30"/>
  <c r="P402" i="30" s="1"/>
  <c r="P22" i="44" s="1"/>
  <c r="K70" i="44" s="1"/>
  <c r="AG45" i="27" s="1"/>
  <c r="AR45" i="27" s="1"/>
  <c r="F297" i="30"/>
  <c r="E94" i="44" l="1"/>
  <c r="I90" i="44"/>
  <c r="E88" i="44"/>
  <c r="R43" i="44"/>
  <c r="R7" i="53" s="1"/>
  <c r="J46" i="44"/>
  <c r="J10" i="53" s="1"/>
  <c r="C15" i="53" s="1"/>
  <c r="Q43" i="44"/>
  <c r="Q7" i="53" s="1"/>
  <c r="N43" i="44"/>
  <c r="N7" i="53" s="1"/>
  <c r="M54" i="44"/>
  <c r="M90" i="44" s="1"/>
  <c r="E45" i="68"/>
  <c r="E68" i="68" s="1"/>
  <c r="E6" i="68"/>
  <c r="H45" i="68"/>
  <c r="H68" i="68" s="1"/>
  <c r="H6" i="68"/>
  <c r="F45" i="68"/>
  <c r="F68" i="68" s="1"/>
  <c r="F6" i="68"/>
  <c r="D45" i="68"/>
  <c r="D68" i="68" s="1"/>
  <c r="D6" i="68"/>
  <c r="G45" i="68"/>
  <c r="G68" i="68" s="1"/>
  <c r="G6" i="68"/>
  <c r="E48" i="58"/>
  <c r="K426" i="30"/>
  <c r="G47" i="58"/>
  <c r="L54" i="44"/>
  <c r="L90" i="44" s="1"/>
  <c r="J54" i="44"/>
  <c r="J90" i="44" s="1"/>
  <c r="O7" i="53"/>
  <c r="E55" i="44"/>
  <c r="R30" i="44"/>
  <c r="K40" i="53" s="1"/>
  <c r="Q9" i="34"/>
  <c r="I42" i="58"/>
  <c r="E62" i="44"/>
  <c r="AA19" i="27"/>
  <c r="AL19" i="27" s="1"/>
  <c r="AL21" i="27" s="1"/>
  <c r="K384" i="30"/>
  <c r="K4" i="44" s="1"/>
  <c r="AB24" i="27"/>
  <c r="AM24" i="27" s="1"/>
  <c r="AG26" i="27"/>
  <c r="AR26" i="27" s="1"/>
  <c r="AE26" i="27"/>
  <c r="AP26" i="27" s="1"/>
  <c r="K343" i="30"/>
  <c r="P229" i="30"/>
  <c r="K348" i="30"/>
  <c r="K391" i="30" s="1"/>
  <c r="K11" i="44" s="1"/>
  <c r="P222" i="30"/>
  <c r="K344" i="30" s="1"/>
  <c r="H17" i="34"/>
  <c r="H24" i="34"/>
  <c r="F8" i="34"/>
  <c r="P361" i="30"/>
  <c r="P403" i="30" s="1"/>
  <c r="Q356" i="30"/>
  <c r="Q398" i="30" s="1"/>
  <c r="Q18" i="44" s="1"/>
  <c r="L66" i="44" s="1"/>
  <c r="AH40" i="27" s="1"/>
  <c r="AS40" i="27" s="1"/>
  <c r="G296" i="30"/>
  <c r="G297" i="30" s="1"/>
  <c r="C20" i="53" l="1"/>
  <c r="C23" i="53" s="1"/>
  <c r="C17" i="53"/>
  <c r="I68" i="68"/>
  <c r="I6" i="68"/>
  <c r="P230" i="30"/>
  <c r="K352" i="30" s="1"/>
  <c r="K395" i="30" s="1"/>
  <c r="K15" i="44" s="1"/>
  <c r="D37" i="53" s="1"/>
  <c r="Q225" i="30"/>
  <c r="E93" i="44"/>
  <c r="K41" i="44"/>
  <c r="K5" i="53" s="1"/>
  <c r="AI26" i="27"/>
  <c r="AT26" i="27" s="1"/>
  <c r="I45" i="68"/>
  <c r="AH26" i="27"/>
  <c r="AS26" i="27" s="1"/>
  <c r="AF26" i="27"/>
  <c r="AQ26" i="27" s="1"/>
  <c r="M78" i="44"/>
  <c r="AI36" i="27" s="1"/>
  <c r="AT36" i="27" s="1"/>
  <c r="F52" i="44"/>
  <c r="P23" i="44"/>
  <c r="K71" i="44" s="1"/>
  <c r="AG46" i="27" s="1"/>
  <c r="AR46" i="27" s="1"/>
  <c r="O8" i="34"/>
  <c r="F59" i="44"/>
  <c r="AB16" i="27"/>
  <c r="AM16" i="27" s="1"/>
  <c r="K387" i="30"/>
  <c r="K7" i="44" s="1"/>
  <c r="AB27" i="27"/>
  <c r="AM27" i="27" s="1"/>
  <c r="AM29" i="27" s="1"/>
  <c r="K388" i="30"/>
  <c r="K8" i="44" s="1"/>
  <c r="AB28" i="27"/>
  <c r="AM28" i="27" s="1"/>
  <c r="Q221" i="30"/>
  <c r="Q222" i="30" s="1"/>
  <c r="L344" i="30" s="1"/>
  <c r="L340" i="30"/>
  <c r="K351" i="30"/>
  <c r="K394" i="30" s="1"/>
  <c r="K14" i="44" s="1"/>
  <c r="H31" i="34"/>
  <c r="G8" i="34"/>
  <c r="Q361" i="30"/>
  <c r="Q403" i="30" s="1"/>
  <c r="Q360" i="30"/>
  <c r="Q402" i="30" s="1"/>
  <c r="Q22" i="44" s="1"/>
  <c r="L70" i="44" s="1"/>
  <c r="AH45" i="27" s="1"/>
  <c r="AS45" i="27" s="1"/>
  <c r="H292" i="30"/>
  <c r="F25" i="34"/>
  <c r="F18" i="34"/>
  <c r="K47" i="44" l="1"/>
  <c r="K11" i="53" s="1"/>
  <c r="AB20" i="27"/>
  <c r="AM20" i="27" s="1"/>
  <c r="F88" i="44"/>
  <c r="K46" i="44"/>
  <c r="K10" i="53" s="1"/>
  <c r="D15" i="53" s="1"/>
  <c r="F63" i="44"/>
  <c r="H47" i="58"/>
  <c r="F55" i="44"/>
  <c r="I39" i="53"/>
  <c r="Q23" i="44"/>
  <c r="J39" i="53" s="1"/>
  <c r="P8" i="34"/>
  <c r="F56" i="44"/>
  <c r="D38" i="53"/>
  <c r="F62" i="44"/>
  <c r="AB19" i="27"/>
  <c r="AM19" i="27" s="1"/>
  <c r="AM21" i="27" s="1"/>
  <c r="L384" i="30"/>
  <c r="L4" i="44" s="1"/>
  <c r="AC24" i="27"/>
  <c r="AN24" i="27" s="1"/>
  <c r="L388" i="30"/>
  <c r="L8" i="44" s="1"/>
  <c r="AC28" i="27"/>
  <c r="AN28" i="27" s="1"/>
  <c r="Q229" i="30"/>
  <c r="Q230" i="30" s="1"/>
  <c r="L352" i="30" s="1"/>
  <c r="L395" i="30" s="1"/>
  <c r="L15" i="44" s="1"/>
  <c r="E37" i="53" s="1"/>
  <c r="L348" i="30"/>
  <c r="L391" i="30" s="1"/>
  <c r="L11" i="44" s="1"/>
  <c r="L343" i="30"/>
  <c r="R217" i="30"/>
  <c r="H296" i="30"/>
  <c r="R360" i="30" s="1"/>
  <c r="R402" i="30" s="1"/>
  <c r="R22" i="44" s="1"/>
  <c r="M70" i="44" s="1"/>
  <c r="AI45" i="27" s="1"/>
  <c r="AT45" i="27" s="1"/>
  <c r="R356" i="30"/>
  <c r="R398" i="30" s="1"/>
  <c r="R18" i="44" s="1"/>
  <c r="M66" i="44" s="1"/>
  <c r="AI40" i="27" s="1"/>
  <c r="AT40" i="27" s="1"/>
  <c r="F32" i="34"/>
  <c r="G25" i="34"/>
  <c r="G18" i="34"/>
  <c r="D17" i="53" l="1"/>
  <c r="D20" i="53"/>
  <c r="D23" i="53" s="1"/>
  <c r="F94" i="44"/>
  <c r="F93" i="44"/>
  <c r="L47" i="44"/>
  <c r="L11" i="53" s="1"/>
  <c r="L41" i="44"/>
  <c r="L5" i="53" s="1"/>
  <c r="I47" i="58"/>
  <c r="F48" i="58"/>
  <c r="L71" i="44"/>
  <c r="AH46" i="27" s="1"/>
  <c r="AS46" i="27" s="1"/>
  <c r="G52" i="44"/>
  <c r="G56" i="44"/>
  <c r="E38" i="53"/>
  <c r="G63" i="44"/>
  <c r="AC20" i="27"/>
  <c r="AN20" i="27" s="1"/>
  <c r="G59" i="44"/>
  <c r="AC16" i="27"/>
  <c r="AN16" i="27" s="1"/>
  <c r="L387" i="30"/>
  <c r="L7" i="44" s="1"/>
  <c r="AC27" i="27"/>
  <c r="AN27" i="27" s="1"/>
  <c r="AN29" i="27" s="1"/>
  <c r="M340" i="30"/>
  <c r="R221" i="30"/>
  <c r="R222" i="30" s="1"/>
  <c r="M344" i="30" s="1"/>
  <c r="R225" i="30"/>
  <c r="L351" i="30"/>
  <c r="L394" i="30" s="1"/>
  <c r="L14" i="44" s="1"/>
  <c r="H297" i="30"/>
  <c r="H8" i="34" s="1"/>
  <c r="G32" i="34"/>
  <c r="G94" i="44" l="1"/>
  <c r="G88" i="44"/>
  <c r="L46" i="44"/>
  <c r="L10" i="53" s="1"/>
  <c r="E15" i="53" s="1"/>
  <c r="G48" i="58"/>
  <c r="G55" i="44"/>
  <c r="G62" i="44"/>
  <c r="AC19" i="27"/>
  <c r="AN19" i="27" s="1"/>
  <c r="AN21" i="27" s="1"/>
  <c r="M388" i="30"/>
  <c r="M8" i="44" s="1"/>
  <c r="AD28" i="27"/>
  <c r="AO28" i="27" s="1"/>
  <c r="M384" i="30"/>
  <c r="M4" i="44" s="1"/>
  <c r="AD24" i="27"/>
  <c r="AO24" i="27" s="1"/>
  <c r="M348" i="30"/>
  <c r="M391" i="30" s="1"/>
  <c r="M11" i="44" s="1"/>
  <c r="R229" i="30"/>
  <c r="R230" i="30" s="1"/>
  <c r="M352" i="30" s="1"/>
  <c r="M395" i="30" s="1"/>
  <c r="M15" i="44" s="1"/>
  <c r="F37" i="53" s="1"/>
  <c r="D253" i="30"/>
  <c r="M343" i="30"/>
  <c r="R361" i="30"/>
  <c r="R403" i="30" s="1"/>
  <c r="H18" i="34"/>
  <c r="H25" i="34"/>
  <c r="E20" i="53" l="1"/>
  <c r="E23" i="53" s="1"/>
  <c r="E17" i="53"/>
  <c r="G93" i="44"/>
  <c r="M47" i="44"/>
  <c r="M11" i="53" s="1"/>
  <c r="M41" i="44"/>
  <c r="M5" i="53" s="1"/>
  <c r="F38" i="53"/>
  <c r="H52" i="44"/>
  <c r="R23" i="44"/>
  <c r="M71" i="44" s="1"/>
  <c r="AI46" i="27" s="1"/>
  <c r="AT46" i="27" s="1"/>
  <c r="Q8" i="34"/>
  <c r="H56" i="44"/>
  <c r="H59" i="44"/>
  <c r="AD16" i="27"/>
  <c r="AO16" i="27" s="1"/>
  <c r="H63" i="44"/>
  <c r="AD20" i="27"/>
  <c r="AO20" i="27" s="1"/>
  <c r="M387" i="30"/>
  <c r="M7" i="44" s="1"/>
  <c r="AD27" i="27"/>
  <c r="AO27" i="27" s="1"/>
  <c r="AO29" i="27" s="1"/>
  <c r="N340" i="30"/>
  <c r="N384" i="30" s="1"/>
  <c r="N4" i="44" s="1"/>
  <c r="D257" i="30"/>
  <c r="M351" i="30"/>
  <c r="M394" i="30" s="1"/>
  <c r="M14" i="44" s="1"/>
  <c r="D261" i="30"/>
  <c r="H32" i="34"/>
  <c r="H88" i="44" l="1"/>
  <c r="H94" i="44"/>
  <c r="M46" i="44"/>
  <c r="M10" i="53" s="1"/>
  <c r="F15" i="53" s="1"/>
  <c r="H48" i="58"/>
  <c r="H55" i="44"/>
  <c r="K39" i="53"/>
  <c r="H62" i="44"/>
  <c r="AD19" i="27"/>
  <c r="AO19" i="27" s="1"/>
  <c r="AO21" i="27" s="1"/>
  <c r="D258" i="30"/>
  <c r="E253" i="30"/>
  <c r="N343" i="30"/>
  <c r="N387" i="30" s="1"/>
  <c r="N7" i="44" s="1"/>
  <c r="N348" i="30"/>
  <c r="N391" i="30" s="1"/>
  <c r="N11" i="44" s="1"/>
  <c r="I59" i="44" s="1"/>
  <c r="AE16" i="27" s="1"/>
  <c r="AP16" i="27" s="1"/>
  <c r="D265" i="30"/>
  <c r="D266" i="30" s="1"/>
  <c r="I52" i="44"/>
  <c r="F16" i="53" l="1"/>
  <c r="F20" i="53"/>
  <c r="F23" i="53" s="1"/>
  <c r="F17" i="53"/>
  <c r="I88" i="44"/>
  <c r="H93" i="44"/>
  <c r="N41" i="44"/>
  <c r="N5" i="53" s="1"/>
  <c r="I48" i="58"/>
  <c r="AE24" i="27"/>
  <c r="AP24" i="27" s="1"/>
  <c r="I55" i="44"/>
  <c r="N352" i="30"/>
  <c r="N395" i="30" s="1"/>
  <c r="D7" i="34"/>
  <c r="O340" i="30"/>
  <c r="O384" i="30" s="1"/>
  <c r="O4" i="44" s="1"/>
  <c r="E257" i="30"/>
  <c r="E258" i="30" s="1"/>
  <c r="E261" i="30"/>
  <c r="N351" i="30"/>
  <c r="N394" i="30" s="1"/>
  <c r="N14" i="44" s="1"/>
  <c r="I62" i="44" s="1"/>
  <c r="AE19" i="27" s="1"/>
  <c r="AP19" i="27" s="1"/>
  <c r="AP21" i="27" s="1"/>
  <c r="D6" i="34"/>
  <c r="N344" i="30"/>
  <c r="N388" i="30" s="1"/>
  <c r="I93" i="44" l="1"/>
  <c r="N46" i="44"/>
  <c r="N10" i="53" s="1"/>
  <c r="G15" i="53" s="1"/>
  <c r="AE27" i="27"/>
  <c r="AP27" i="27" s="1"/>
  <c r="AP29" i="27" s="1"/>
  <c r="N15" i="44"/>
  <c r="G37" i="53" s="1"/>
  <c r="M7" i="34"/>
  <c r="N8" i="44"/>
  <c r="M6" i="34"/>
  <c r="O348" i="30"/>
  <c r="O391" i="30" s="1"/>
  <c r="O11" i="44" s="1"/>
  <c r="J59" i="44" s="1"/>
  <c r="AF16" i="27" s="1"/>
  <c r="AQ16" i="27" s="1"/>
  <c r="E265" i="30"/>
  <c r="E266" i="30" s="1"/>
  <c r="D15" i="34"/>
  <c r="D22" i="34"/>
  <c r="E6" i="34"/>
  <c r="O344" i="30"/>
  <c r="O388" i="30" s="1"/>
  <c r="D16" i="34"/>
  <c r="D23" i="34"/>
  <c r="D10" i="34"/>
  <c r="D48" i="68" s="1"/>
  <c r="F253" i="30"/>
  <c r="O343" i="30"/>
  <c r="O387" i="30" s="1"/>
  <c r="O7" i="44" s="1"/>
  <c r="J52" i="44"/>
  <c r="G23" i="53" l="1"/>
  <c r="G16" i="53"/>
  <c r="G17" i="53"/>
  <c r="G20" i="53"/>
  <c r="J88" i="44"/>
  <c r="N47" i="44"/>
  <c r="N11" i="53" s="1"/>
  <c r="O41" i="44"/>
  <c r="O5" i="53" s="1"/>
  <c r="G38" i="53"/>
  <c r="I63" i="44"/>
  <c r="AE20" i="27" s="1"/>
  <c r="AP20" i="27" s="1"/>
  <c r="I56" i="44"/>
  <c r="O8" i="44"/>
  <c r="N6" i="34"/>
  <c r="D118" i="62"/>
  <c r="D119" i="62" s="1"/>
  <c r="D120" i="62" s="1"/>
  <c r="D111" i="62"/>
  <c r="D104" i="62"/>
  <c r="D105" i="62" s="1"/>
  <c r="D106" i="62" s="1"/>
  <c r="D97" i="62"/>
  <c r="D98" i="62" s="1"/>
  <c r="D99" i="62" s="1"/>
  <c r="E7" i="16"/>
  <c r="AF24" i="27"/>
  <c r="AQ24" i="27" s="1"/>
  <c r="M10" i="34"/>
  <c r="O351" i="30"/>
  <c r="O394" i="30" s="1"/>
  <c r="O14" i="44" s="1"/>
  <c r="J62" i="44" s="1"/>
  <c r="AF19" i="27" s="1"/>
  <c r="AQ19" i="27" s="1"/>
  <c r="AQ21" i="27" s="1"/>
  <c r="F261" i="30"/>
  <c r="F257" i="30"/>
  <c r="F258" i="30" s="1"/>
  <c r="P340" i="30"/>
  <c r="P384" i="30" s="1"/>
  <c r="P4" i="44" s="1"/>
  <c r="D19" i="34"/>
  <c r="D29" i="34"/>
  <c r="E7" i="34"/>
  <c r="O352" i="30"/>
  <c r="O395" i="30" s="1"/>
  <c r="J55" i="44"/>
  <c r="D30" i="34"/>
  <c r="E16" i="34"/>
  <c r="E23" i="34"/>
  <c r="D26" i="34"/>
  <c r="J93" i="44" l="1"/>
  <c r="I94" i="44"/>
  <c r="O46" i="44"/>
  <c r="O10" i="53" s="1"/>
  <c r="H15" i="53" s="1"/>
  <c r="D46" i="58"/>
  <c r="D45" i="58"/>
  <c r="H38" i="53"/>
  <c r="J56" i="44"/>
  <c r="AE28" i="27"/>
  <c r="AP28" i="27" s="1"/>
  <c r="O15" i="44"/>
  <c r="H37" i="53" s="1"/>
  <c r="N7" i="34"/>
  <c r="N10" i="34" s="1"/>
  <c r="D112" i="62"/>
  <c r="D113" i="62" s="1"/>
  <c r="AF27" i="27"/>
  <c r="AQ27" i="27" s="1"/>
  <c r="AQ29" i="27" s="1"/>
  <c r="D33" i="34"/>
  <c r="E30" i="34"/>
  <c r="P344" i="30"/>
  <c r="P388" i="30" s="1"/>
  <c r="F6" i="34"/>
  <c r="E8" i="16"/>
  <c r="E10" i="34"/>
  <c r="E48" i="68" s="1"/>
  <c r="E22" i="34"/>
  <c r="E26" i="34" s="1"/>
  <c r="E15" i="34"/>
  <c r="K52" i="44"/>
  <c r="P348" i="30"/>
  <c r="P391" i="30" s="1"/>
  <c r="P11" i="44" s="1"/>
  <c r="K59" i="44" s="1"/>
  <c r="AG16" i="27" s="1"/>
  <c r="AR16" i="27" s="1"/>
  <c r="F265" i="30"/>
  <c r="P343" i="30"/>
  <c r="P387" i="30" s="1"/>
  <c r="P7" i="44" s="1"/>
  <c r="G253" i="30"/>
  <c r="H23" i="53" l="1"/>
  <c r="H16" i="53"/>
  <c r="H17" i="53"/>
  <c r="H20" i="53"/>
  <c r="K88" i="44"/>
  <c r="O47" i="44"/>
  <c r="O11" i="53" s="1"/>
  <c r="P41" i="44"/>
  <c r="P5" i="53" s="1"/>
  <c r="AG24" i="27"/>
  <c r="AR24" i="27" s="1"/>
  <c r="AF28" i="27"/>
  <c r="AQ28" i="27" s="1"/>
  <c r="E46" i="58"/>
  <c r="D49" i="58"/>
  <c r="J63" i="44"/>
  <c r="AF20" i="27" s="1"/>
  <c r="AQ20" i="27" s="1"/>
  <c r="P8" i="44"/>
  <c r="O6" i="34"/>
  <c r="E111" i="62"/>
  <c r="E112" i="62" s="1"/>
  <c r="E113" i="62" s="1"/>
  <c r="E104" i="62"/>
  <c r="E105" i="62" s="1"/>
  <c r="E106" i="62" s="1"/>
  <c r="E97" i="62"/>
  <c r="E98" i="62" s="1"/>
  <c r="E99" i="62" s="1"/>
  <c r="E118" i="62"/>
  <c r="E119" i="62" s="1"/>
  <c r="E120" i="62" s="1"/>
  <c r="D77" i="62"/>
  <c r="E31" i="16" s="1"/>
  <c r="D70" i="62"/>
  <c r="D121" i="62"/>
  <c r="E38" i="16" s="1"/>
  <c r="B5" i="45" s="1"/>
  <c r="D114" i="62"/>
  <c r="E37" i="16" s="1"/>
  <c r="D91" i="62"/>
  <c r="E33" i="16" s="1"/>
  <c r="D84" i="62"/>
  <c r="E32" i="16" s="1"/>
  <c r="D107" i="62"/>
  <c r="E36" i="16" s="1"/>
  <c r="B7" i="45" s="1"/>
  <c r="D100" i="62"/>
  <c r="E35" i="16" s="1"/>
  <c r="D171" i="62"/>
  <c r="E43" i="16" s="1"/>
  <c r="D159" i="62"/>
  <c r="E42" i="16" s="1"/>
  <c r="D135" i="62"/>
  <c r="E40" i="16" s="1"/>
  <c r="D147" i="62"/>
  <c r="E41" i="16" s="1"/>
  <c r="F7" i="16"/>
  <c r="F8" i="16" s="1"/>
  <c r="Q340" i="30"/>
  <c r="Q384" i="30" s="1"/>
  <c r="Q4" i="44" s="1"/>
  <c r="G257" i="30"/>
  <c r="G258" i="30" s="1"/>
  <c r="F266" i="30"/>
  <c r="P351" i="30"/>
  <c r="P394" i="30" s="1"/>
  <c r="P14" i="44" s="1"/>
  <c r="K62" i="44" s="1"/>
  <c r="AG19" i="27" s="1"/>
  <c r="AR19" i="27" s="1"/>
  <c r="AR21" i="27" s="1"/>
  <c r="G261" i="30"/>
  <c r="F16" i="34"/>
  <c r="F23" i="34"/>
  <c r="K55" i="44"/>
  <c r="E29" i="34"/>
  <c r="E19" i="34"/>
  <c r="E30" i="16" l="1"/>
  <c r="E49" i="16" s="1"/>
  <c r="K93" i="44"/>
  <c r="J94" i="44"/>
  <c r="P46" i="44"/>
  <c r="P10" i="53" s="1"/>
  <c r="I15" i="53" s="1"/>
  <c r="D4" i="66"/>
  <c r="D7" i="68"/>
  <c r="D69" i="68" s="1"/>
  <c r="D5" i="66"/>
  <c r="AG27" i="27"/>
  <c r="AR27" i="27" s="1"/>
  <c r="AR29" i="27" s="1"/>
  <c r="I38" i="53"/>
  <c r="K56" i="44"/>
  <c r="E70" i="62"/>
  <c r="F30" i="16" s="1"/>
  <c r="E77" i="62"/>
  <c r="F31" i="16" s="1"/>
  <c r="E91" i="62"/>
  <c r="F33" i="16" s="1"/>
  <c r="E84" i="62"/>
  <c r="F32" i="16" s="1"/>
  <c r="E121" i="62"/>
  <c r="F38" i="16" s="1"/>
  <c r="E100" i="62"/>
  <c r="F35" i="16" s="1"/>
  <c r="E107" i="62"/>
  <c r="F36" i="16" s="1"/>
  <c r="E114" i="62"/>
  <c r="F37" i="16" s="1"/>
  <c r="E135" i="62"/>
  <c r="F40" i="16" s="1"/>
  <c r="E171" i="62"/>
  <c r="F43" i="16" s="1"/>
  <c r="E159" i="62"/>
  <c r="F42" i="16" s="1"/>
  <c r="E147" i="62"/>
  <c r="F41" i="16" s="1"/>
  <c r="E33" i="34"/>
  <c r="E45" i="58"/>
  <c r="F30" i="34"/>
  <c r="F7" i="34"/>
  <c r="P352" i="30"/>
  <c r="P395" i="30" s="1"/>
  <c r="Q344" i="30"/>
  <c r="Q388" i="30" s="1"/>
  <c r="G6" i="34"/>
  <c r="G265" i="30"/>
  <c r="G266" i="30" s="1"/>
  <c r="Q348" i="30"/>
  <c r="Q391" i="30" s="1"/>
  <c r="Q11" i="44" s="1"/>
  <c r="L59" i="44" s="1"/>
  <c r="AH16" i="27" s="1"/>
  <c r="AS16" i="27" s="1"/>
  <c r="Q343" i="30"/>
  <c r="Q387" i="30" s="1"/>
  <c r="Q7" i="44" s="1"/>
  <c r="H253" i="30"/>
  <c r="L52" i="44"/>
  <c r="I23" i="53" l="1"/>
  <c r="I16" i="53"/>
  <c r="I17" i="53"/>
  <c r="I20" i="53"/>
  <c r="F49" i="16"/>
  <c r="L88" i="44"/>
  <c r="Q41" i="44"/>
  <c r="Q5" i="53" s="1"/>
  <c r="AH24" i="27"/>
  <c r="AS24" i="27" s="1"/>
  <c r="AG28" i="27"/>
  <c r="AR28" i="27" s="1"/>
  <c r="F46" i="58"/>
  <c r="Q8" i="44"/>
  <c r="P6" i="34"/>
  <c r="P15" i="44"/>
  <c r="P47" i="44" s="1"/>
  <c r="O7" i="34"/>
  <c r="O10" i="34" s="1"/>
  <c r="E49" i="58"/>
  <c r="G23" i="34"/>
  <c r="G16" i="34"/>
  <c r="R340" i="30"/>
  <c r="R384" i="30" s="1"/>
  <c r="R4" i="44" s="1"/>
  <c r="H257" i="30"/>
  <c r="R343" i="30" s="1"/>
  <c r="R387" i="30" s="1"/>
  <c r="R7" i="44" s="1"/>
  <c r="Q351" i="30"/>
  <c r="Q394" i="30" s="1"/>
  <c r="Q14" i="44" s="1"/>
  <c r="L62" i="44" s="1"/>
  <c r="AH19" i="27" s="1"/>
  <c r="AS19" i="27" s="1"/>
  <c r="AS21" i="27" s="1"/>
  <c r="H261" i="30"/>
  <c r="L55" i="44"/>
  <c r="F15" i="34"/>
  <c r="F22" i="34"/>
  <c r="F26" i="34" s="1"/>
  <c r="F10" i="34"/>
  <c r="F48" i="68" s="1"/>
  <c r="G7" i="34"/>
  <c r="G10" i="34" s="1"/>
  <c r="G48" i="68" s="1"/>
  <c r="Q352" i="30"/>
  <c r="Q395" i="30" s="1"/>
  <c r="L93" i="44" l="1"/>
  <c r="Q46" i="44"/>
  <c r="Q10" i="53" s="1"/>
  <c r="J15" i="53" s="1"/>
  <c r="L56" i="44"/>
  <c r="K63" i="44"/>
  <c r="K94" i="44" s="1"/>
  <c r="E7" i="68"/>
  <c r="E69" i="68" s="1"/>
  <c r="E4" i="66"/>
  <c r="E5" i="66"/>
  <c r="AH27" i="27"/>
  <c r="AS27" i="27" s="1"/>
  <c r="AS29" i="27" s="1"/>
  <c r="I37" i="53"/>
  <c r="P11" i="53"/>
  <c r="J38" i="53"/>
  <c r="Q15" i="44"/>
  <c r="L63" i="44" s="1"/>
  <c r="AH20" i="27" s="1"/>
  <c r="AS20" i="27" s="1"/>
  <c r="P7" i="34"/>
  <c r="P10" i="34" s="1"/>
  <c r="F104" i="62"/>
  <c r="F105" i="62" s="1"/>
  <c r="F106" i="62" s="1"/>
  <c r="F97" i="62"/>
  <c r="F98" i="62" s="1"/>
  <c r="F99" i="62" s="1"/>
  <c r="F118" i="62"/>
  <c r="F119" i="62" s="1"/>
  <c r="F120" i="62" s="1"/>
  <c r="F111" i="62"/>
  <c r="F112" i="62" s="1"/>
  <c r="F113" i="62" s="1"/>
  <c r="G97" i="62"/>
  <c r="G98" i="62" s="1"/>
  <c r="G99" i="62" s="1"/>
  <c r="G118" i="62"/>
  <c r="G119" i="62" s="1"/>
  <c r="G120" i="62" s="1"/>
  <c r="G111" i="62"/>
  <c r="G112" i="62" s="1"/>
  <c r="G113" i="62" s="1"/>
  <c r="G104" i="62"/>
  <c r="G105" i="62" s="1"/>
  <c r="G106" i="62" s="1"/>
  <c r="H7" i="16"/>
  <c r="H8" i="16" s="1"/>
  <c r="G7" i="16"/>
  <c r="G8" i="16" s="1"/>
  <c r="H258" i="30"/>
  <c r="H6" i="34" s="1"/>
  <c r="G30" i="34"/>
  <c r="H265" i="30"/>
  <c r="R351" i="30" s="1"/>
  <c r="R394" i="30" s="1"/>
  <c r="R14" i="44" s="1"/>
  <c r="M62" i="44" s="1"/>
  <c r="AI19" i="27" s="1"/>
  <c r="AT19" i="27" s="1"/>
  <c r="R348" i="30"/>
  <c r="R391" i="30" s="1"/>
  <c r="R11" i="44" s="1"/>
  <c r="M59" i="44" s="1"/>
  <c r="AI16" i="27" s="1"/>
  <c r="AT16" i="27" s="1"/>
  <c r="G22" i="34"/>
  <c r="G26" i="34" s="1"/>
  <c r="G15" i="34"/>
  <c r="M55" i="44"/>
  <c r="M52" i="44"/>
  <c r="F19" i="34"/>
  <c r="F29" i="34"/>
  <c r="J23" i="53" l="1"/>
  <c r="J16" i="53"/>
  <c r="J20" i="53"/>
  <c r="J17" i="53"/>
  <c r="M88" i="44"/>
  <c r="M93" i="44"/>
  <c r="AH28" i="27"/>
  <c r="AS28" i="27" s="1"/>
  <c r="L94" i="44"/>
  <c r="Q47" i="44"/>
  <c r="Q11" i="53" s="1"/>
  <c r="R41" i="44"/>
  <c r="R5" i="53" s="1"/>
  <c r="R46" i="44"/>
  <c r="R10" i="53" s="1"/>
  <c r="K15" i="53" s="1"/>
  <c r="AG20" i="27"/>
  <c r="AR20" i="27" s="1"/>
  <c r="G46" i="58"/>
  <c r="AI27" i="27"/>
  <c r="AT27" i="27" s="1"/>
  <c r="AI24" i="27"/>
  <c r="AT24" i="27" s="1"/>
  <c r="J37" i="53"/>
  <c r="F107" i="62"/>
  <c r="G36" i="16" s="1"/>
  <c r="F114" i="62"/>
  <c r="G37" i="16" s="1"/>
  <c r="F100" i="62"/>
  <c r="G35" i="16" s="1"/>
  <c r="F121" i="62"/>
  <c r="G38" i="16" s="1"/>
  <c r="F189" i="62"/>
  <c r="G46" i="16" s="1"/>
  <c r="F84" i="62"/>
  <c r="G32" i="16" s="1"/>
  <c r="F70" i="62"/>
  <c r="F77" i="62"/>
  <c r="G31" i="16" s="1"/>
  <c r="F135" i="62"/>
  <c r="G40" i="16" s="1"/>
  <c r="F91" i="62"/>
  <c r="G33" i="16" s="1"/>
  <c r="F159" i="62"/>
  <c r="G42" i="16" s="1"/>
  <c r="F171" i="62"/>
  <c r="G43" i="16" s="1"/>
  <c r="F147" i="62"/>
  <c r="G41" i="16" s="1"/>
  <c r="F181" i="62"/>
  <c r="G45" i="16" s="1"/>
  <c r="G114" i="62"/>
  <c r="H37" i="16" s="1"/>
  <c r="G100" i="62"/>
  <c r="H35" i="16" s="1"/>
  <c r="G121" i="62"/>
  <c r="H38" i="16" s="1"/>
  <c r="G107" i="62"/>
  <c r="H36" i="16" s="1"/>
  <c r="G84" i="62"/>
  <c r="H32" i="16" s="1"/>
  <c r="G70" i="62"/>
  <c r="H30" i="16" s="1"/>
  <c r="H49" i="16" s="1"/>
  <c r="G77" i="62"/>
  <c r="H31" i="16" s="1"/>
  <c r="G91" i="62"/>
  <c r="H33" i="16" s="1"/>
  <c r="G135" i="62"/>
  <c r="H40" i="16" s="1"/>
  <c r="G159" i="62"/>
  <c r="H42" i="16" s="1"/>
  <c r="G171" i="62"/>
  <c r="H43" i="16" s="1"/>
  <c r="G147" i="62"/>
  <c r="H41" i="16" s="1"/>
  <c r="F33" i="34"/>
  <c r="F45" i="58"/>
  <c r="AT21" i="27"/>
  <c r="R344" i="30"/>
  <c r="R388" i="30" s="1"/>
  <c r="H266" i="30"/>
  <c r="R352" i="30" s="1"/>
  <c r="R395" i="30" s="1"/>
  <c r="H16" i="34"/>
  <c r="H23" i="34"/>
  <c r="G29" i="34"/>
  <c r="G19" i="34"/>
  <c r="K23" i="53" l="1"/>
  <c r="K16" i="53"/>
  <c r="K20" i="53"/>
  <c r="K17" i="53"/>
  <c r="G30" i="16"/>
  <c r="G49" i="16" s="1"/>
  <c r="J45" i="16"/>
  <c r="J46" i="16"/>
  <c r="AT29" i="27"/>
  <c r="R8" i="44"/>
  <c r="Q6" i="34"/>
  <c r="R15" i="44"/>
  <c r="M63" i="44" s="1"/>
  <c r="AI20" i="27" s="1"/>
  <c r="AT20" i="27" s="1"/>
  <c r="Q7" i="34"/>
  <c r="G33" i="34"/>
  <c r="G45" i="58"/>
  <c r="F49" i="58"/>
  <c r="H7" i="34"/>
  <c r="H22" i="34" s="1"/>
  <c r="H26" i="34" s="1"/>
  <c r="H30" i="34"/>
  <c r="R47" i="44" l="1"/>
  <c r="R11" i="53" s="1"/>
  <c r="F7" i="68"/>
  <c r="F69" i="68" s="1"/>
  <c r="F4" i="66"/>
  <c r="F5" i="66"/>
  <c r="H46" i="58"/>
  <c r="K38" i="53"/>
  <c r="M56" i="44"/>
  <c r="M94" i="44" s="1"/>
  <c r="K37" i="53"/>
  <c r="G49" i="58"/>
  <c r="H10" i="34"/>
  <c r="H48" i="68" s="1"/>
  <c r="I48" i="68" s="1"/>
  <c r="H15" i="34"/>
  <c r="H29" i="34" s="1"/>
  <c r="Q10" i="34"/>
  <c r="Q11" i="34" s="1"/>
  <c r="G7" i="68" l="1"/>
  <c r="G5" i="66"/>
  <c r="G4" i="66"/>
  <c r="I46" i="58"/>
  <c r="AI28" i="27"/>
  <c r="AT28" i="27" s="1"/>
  <c r="H118" i="62"/>
  <c r="H119" i="62" s="1"/>
  <c r="H120" i="62" s="1"/>
  <c r="H111" i="62"/>
  <c r="H112" i="62" s="1"/>
  <c r="H113" i="62" s="1"/>
  <c r="H104" i="62"/>
  <c r="H105" i="62" s="1"/>
  <c r="H106" i="62" s="1"/>
  <c r="H97" i="62"/>
  <c r="H98" i="62" s="1"/>
  <c r="H99" i="62" s="1"/>
  <c r="I7" i="16"/>
  <c r="I8" i="16" s="1"/>
  <c r="H33" i="34"/>
  <c r="H34" i="34" s="1"/>
  <c r="H45" i="58"/>
  <c r="H11" i="34"/>
  <c r="H19" i="34"/>
  <c r="G69" i="68" l="1"/>
  <c r="H121" i="62"/>
  <c r="I38" i="16" s="1"/>
  <c r="J38" i="16" s="1"/>
  <c r="H100" i="62"/>
  <c r="I35" i="16" s="1"/>
  <c r="H114" i="62"/>
  <c r="I37" i="16" s="1"/>
  <c r="H107" i="62"/>
  <c r="I36" i="16" s="1"/>
  <c r="J36" i="16" s="1"/>
  <c r="H91" i="62"/>
  <c r="I33" i="16" s="1"/>
  <c r="H70" i="62"/>
  <c r="H77" i="62"/>
  <c r="I31" i="16" s="1"/>
  <c r="H84" i="62"/>
  <c r="I32" i="16" s="1"/>
  <c r="H135" i="62"/>
  <c r="I40" i="16" s="1"/>
  <c r="J40" i="16" s="1"/>
  <c r="H171" i="62"/>
  <c r="I43" i="16" s="1"/>
  <c r="J43" i="16" s="1"/>
  <c r="H159" i="62"/>
  <c r="I42" i="16" s="1"/>
  <c r="J42" i="16" s="1"/>
  <c r="H147" i="62"/>
  <c r="I41" i="16" s="1"/>
  <c r="J41" i="16" s="1"/>
  <c r="H49" i="58"/>
  <c r="I45" i="58"/>
  <c r="I30" i="16" l="1"/>
  <c r="I49" i="16" s="1"/>
  <c r="J37" i="16"/>
  <c r="J35" i="16"/>
  <c r="H7" i="68"/>
  <c r="H69" i="68" s="1"/>
  <c r="H5" i="66"/>
  <c r="H4" i="66"/>
  <c r="I49" i="58"/>
  <c r="I69" i="68" l="1"/>
  <c r="I7" i="68"/>
  <c r="J7" i="16" l="1"/>
  <c r="J8" i="16" l="1"/>
  <c r="F52" i="16" l="1"/>
  <c r="F51" i="16"/>
  <c r="F50" i="16"/>
  <c r="H52" i="16" l="1"/>
  <c r="H51" i="16"/>
  <c r="H50" i="16"/>
  <c r="G51" i="16" l="1"/>
  <c r="G52" i="16"/>
  <c r="G50" i="16"/>
  <c r="I51" i="16" l="1"/>
  <c r="I52" i="16"/>
  <c r="I50" i="16"/>
  <c r="J30" i="16" l="1"/>
  <c r="J49" i="16" s="1"/>
  <c r="B6" i="45" l="1"/>
  <c r="J33" i="16"/>
  <c r="J52" i="16" s="1"/>
  <c r="E52" i="16"/>
  <c r="J31" i="16"/>
  <c r="J50" i="16" s="1"/>
  <c r="E50" i="16"/>
  <c r="B20" i="45"/>
  <c r="E51" i="16"/>
  <c r="J32" i="16"/>
  <c r="B4" i="45" s="1"/>
  <c r="B19" i="45" l="1"/>
  <c r="J51" i="16"/>
  <c r="B22" i="45"/>
  <c r="B21" i="45" l="1"/>
  <c r="E15" i="57" l="1"/>
  <c r="H15" i="57"/>
  <c r="F15" i="57"/>
  <c r="D15" i="57"/>
  <c r="I12" i="13" l="1"/>
  <c r="F27" i="68"/>
  <c r="F30" i="68" s="1"/>
  <c r="F70" i="68" s="1"/>
  <c r="F74" i="68" s="1"/>
  <c r="D27" i="68"/>
  <c r="H29" i="62"/>
  <c r="H30" i="62" s="1"/>
  <c r="H31" i="62" s="1"/>
  <c r="I23" i="16" s="1"/>
  <c r="E27" i="68"/>
  <c r="E30" i="68" s="1"/>
  <c r="E70" i="68" s="1"/>
  <c r="E74" i="68" s="1"/>
  <c r="E35" i="58"/>
  <c r="H27" i="68"/>
  <c r="H30" i="68" s="1"/>
  <c r="H70" i="68" s="1"/>
  <c r="H74" i="68" s="1"/>
  <c r="H35" i="58"/>
  <c r="G15" i="57"/>
  <c r="I15" i="57" s="1"/>
  <c r="F52" i="62" l="1"/>
  <c r="F53" i="62" s="1"/>
  <c r="F54" i="62" s="1"/>
  <c r="G27" i="16" s="1"/>
  <c r="F35" i="58"/>
  <c r="F55" i="58" s="1"/>
  <c r="F69" i="58" s="1"/>
  <c r="E5" i="68"/>
  <c r="E16" i="68" s="1"/>
  <c r="E23" i="68" s="1"/>
  <c r="E8" i="66"/>
  <c r="E12" i="66" s="1"/>
  <c r="E55" i="58"/>
  <c r="E69" i="58" s="1"/>
  <c r="E9" i="66"/>
  <c r="E13" i="66" s="1"/>
  <c r="G15" i="62"/>
  <c r="G16" i="62" s="1"/>
  <c r="G17" i="62" s="1"/>
  <c r="H21" i="16" s="1"/>
  <c r="F59" i="62"/>
  <c r="F60" i="62" s="1"/>
  <c r="F61" i="62" s="1"/>
  <c r="G28" i="16" s="1"/>
  <c r="F45" i="62"/>
  <c r="F46" i="62" s="1"/>
  <c r="F47" i="62" s="1"/>
  <c r="G26" i="16" s="1"/>
  <c r="E8" i="62"/>
  <c r="E9" i="62" s="1"/>
  <c r="E10" i="62" s="1"/>
  <c r="F20" i="16" s="1"/>
  <c r="E38" i="62"/>
  <c r="E39" i="62" s="1"/>
  <c r="E40" i="62" s="1"/>
  <c r="F25" i="16" s="1"/>
  <c r="D30" i="68"/>
  <c r="G45" i="62"/>
  <c r="G46" i="62" s="1"/>
  <c r="G47" i="62" s="1"/>
  <c r="H26" i="16" s="1"/>
  <c r="G29" i="62"/>
  <c r="G30" i="62" s="1"/>
  <c r="G31" i="62" s="1"/>
  <c r="H23" i="16" s="1"/>
  <c r="H22" i="62"/>
  <c r="H23" i="62" s="1"/>
  <c r="H24" i="62" s="1"/>
  <c r="I22" i="16" s="1"/>
  <c r="H8" i="62"/>
  <c r="H9" i="62" s="1"/>
  <c r="H10" i="62" s="1"/>
  <c r="I20" i="16" s="1"/>
  <c r="E52" i="62"/>
  <c r="E53" i="62" s="1"/>
  <c r="E54" i="62" s="1"/>
  <c r="F27" i="16" s="1"/>
  <c r="H15" i="62"/>
  <c r="H16" i="62" s="1"/>
  <c r="H17" i="62" s="1"/>
  <c r="I21" i="16" s="1"/>
  <c r="H59" i="62"/>
  <c r="H60" i="62" s="1"/>
  <c r="H61" i="62" s="1"/>
  <c r="I28" i="16" s="1"/>
  <c r="H38" i="62"/>
  <c r="H39" i="62" s="1"/>
  <c r="H40" i="62" s="1"/>
  <c r="I25" i="16" s="1"/>
  <c r="H8" i="66"/>
  <c r="H12" i="66" s="1"/>
  <c r="H5" i="68"/>
  <c r="H16" i="68" s="1"/>
  <c r="H23" i="68" s="1"/>
  <c r="H9" i="66"/>
  <c r="H13" i="66" s="1"/>
  <c r="H55" i="58"/>
  <c r="H69" i="58" s="1"/>
  <c r="E29" i="62"/>
  <c r="E30" i="62" s="1"/>
  <c r="E31" i="62" s="1"/>
  <c r="F23" i="16" s="1"/>
  <c r="E59" i="62"/>
  <c r="E60" i="62" s="1"/>
  <c r="E61" i="62" s="1"/>
  <c r="F28" i="16" s="1"/>
  <c r="G22" i="62"/>
  <c r="G23" i="62" s="1"/>
  <c r="G24" i="62" s="1"/>
  <c r="H22" i="16" s="1"/>
  <c r="G38" i="62"/>
  <c r="G39" i="62" s="1"/>
  <c r="G40" i="62" s="1"/>
  <c r="H25" i="16" s="1"/>
  <c r="H52" i="62"/>
  <c r="H53" i="62" s="1"/>
  <c r="H54" i="62" s="1"/>
  <c r="I27" i="16" s="1"/>
  <c r="E22" i="62"/>
  <c r="E23" i="62" s="1"/>
  <c r="E24" i="62" s="1"/>
  <c r="F22" i="16" s="1"/>
  <c r="G52" i="62"/>
  <c r="G53" i="62" s="1"/>
  <c r="G54" i="62" s="1"/>
  <c r="H27" i="16" s="1"/>
  <c r="F22" i="62"/>
  <c r="F23" i="62" s="1"/>
  <c r="F24" i="62" s="1"/>
  <c r="G22" i="16" s="1"/>
  <c r="G27" i="68"/>
  <c r="G30" i="68" s="1"/>
  <c r="G70" i="68" s="1"/>
  <c r="G74" i="68" s="1"/>
  <c r="G35" i="58"/>
  <c r="F29" i="62"/>
  <c r="F30" i="62" s="1"/>
  <c r="F31" i="62" s="1"/>
  <c r="G23" i="16" s="1"/>
  <c r="F38" i="62"/>
  <c r="F39" i="62" s="1"/>
  <c r="F40" i="62" s="1"/>
  <c r="G25" i="16" s="1"/>
  <c r="H45" i="62"/>
  <c r="H46" i="62" s="1"/>
  <c r="H47" i="62" s="1"/>
  <c r="I26" i="16" s="1"/>
  <c r="F15" i="62"/>
  <c r="F16" i="62" s="1"/>
  <c r="F17" i="62" s="1"/>
  <c r="G21" i="16" s="1"/>
  <c r="E45" i="62"/>
  <c r="E46" i="62" s="1"/>
  <c r="E47" i="62" s="1"/>
  <c r="F26" i="16" s="1"/>
  <c r="E15" i="62"/>
  <c r="E16" i="62" s="1"/>
  <c r="E17" i="62" s="1"/>
  <c r="F21" i="16" s="1"/>
  <c r="G8" i="62"/>
  <c r="G9" i="62" s="1"/>
  <c r="G10" i="62" s="1"/>
  <c r="H20" i="16" s="1"/>
  <c r="G59" i="62"/>
  <c r="G60" i="62" s="1"/>
  <c r="G61" i="62" s="1"/>
  <c r="H28" i="16" s="1"/>
  <c r="F5" i="68" l="1"/>
  <c r="F16" i="68" s="1"/>
  <c r="F23" i="68" s="1"/>
  <c r="F57" i="68" s="1"/>
  <c r="F8" i="66"/>
  <c r="F12" i="66" s="1"/>
  <c r="F9" i="66"/>
  <c r="F13" i="66" s="1"/>
  <c r="F8" i="62"/>
  <c r="F9" i="62" s="1"/>
  <c r="F10" i="62" s="1"/>
  <c r="G20" i="16" s="1"/>
  <c r="G5" i="68"/>
  <c r="G16" i="68" s="1"/>
  <c r="G23" i="68" s="1"/>
  <c r="G8" i="66"/>
  <c r="G12" i="66" s="1"/>
  <c r="G9" i="66"/>
  <c r="G13" i="66" s="1"/>
  <c r="G55" i="58"/>
  <c r="G69" i="58" s="1"/>
  <c r="I27" i="68"/>
  <c r="D70" i="68"/>
  <c r="I30" i="68"/>
  <c r="H56" i="68"/>
  <c r="H57" i="68"/>
  <c r="E56" i="68"/>
  <c r="E57" i="68"/>
  <c r="F56" i="68" l="1"/>
  <c r="F58" i="68" s="1"/>
  <c r="H58" i="68"/>
  <c r="D15" i="62"/>
  <c r="D16" i="62" s="1"/>
  <c r="D17" i="62" s="1"/>
  <c r="E21" i="16" s="1"/>
  <c r="J21" i="16" s="1"/>
  <c r="D52" i="62"/>
  <c r="D53" i="62" s="1"/>
  <c r="D54" i="62" s="1"/>
  <c r="E27" i="16" s="1"/>
  <c r="J27" i="16" s="1"/>
  <c r="D59" i="62"/>
  <c r="D60" i="62" s="1"/>
  <c r="D61" i="62" s="1"/>
  <c r="E28" i="16" s="1"/>
  <c r="J28" i="16" s="1"/>
  <c r="E58" i="68"/>
  <c r="D8" i="62"/>
  <c r="D9" i="62" s="1"/>
  <c r="D10" i="62" s="1"/>
  <c r="E20" i="16" s="1"/>
  <c r="J20" i="16" s="1"/>
  <c r="D29" i="62"/>
  <c r="D30" i="62" s="1"/>
  <c r="D31" i="62" s="1"/>
  <c r="E23" i="16" s="1"/>
  <c r="J23" i="16" s="1"/>
  <c r="D38" i="62"/>
  <c r="D39" i="62" s="1"/>
  <c r="D40" i="62" s="1"/>
  <c r="E25" i="16" s="1"/>
  <c r="J25" i="16" s="1"/>
  <c r="D74" i="68"/>
  <c r="I74" i="68" s="1"/>
  <c r="I70" i="68"/>
  <c r="D45" i="62"/>
  <c r="D46" i="62" s="1"/>
  <c r="D47" i="62" s="1"/>
  <c r="E26" i="16" s="1"/>
  <c r="J26" i="16" s="1"/>
  <c r="D22" i="62"/>
  <c r="D23" i="62" s="1"/>
  <c r="D24" i="62" s="1"/>
  <c r="E22" i="16" s="1"/>
  <c r="J22" i="16" s="1"/>
  <c r="G56" i="68"/>
  <c r="G57" i="68"/>
  <c r="F107" i="68" l="1"/>
  <c r="F95" i="68"/>
  <c r="F79" i="68"/>
  <c r="F105" i="68"/>
  <c r="F59" i="68"/>
  <c r="F102" i="68"/>
  <c r="F106" i="68"/>
  <c r="F84" i="68"/>
  <c r="F96" i="68"/>
  <c r="F101" i="68"/>
  <c r="F100" i="68"/>
  <c r="F97" i="68"/>
  <c r="F89" i="68"/>
  <c r="G58" i="68"/>
  <c r="H97" i="68"/>
  <c r="H89" i="68"/>
  <c r="H59" i="68"/>
  <c r="H95" i="68"/>
  <c r="H107" i="68"/>
  <c r="H100" i="68"/>
  <c r="H105" i="68"/>
  <c r="H96" i="68"/>
  <c r="H102" i="68"/>
  <c r="H84" i="68"/>
  <c r="H79" i="68"/>
  <c r="H106" i="68"/>
  <c r="H101" i="68"/>
  <c r="E102" i="68"/>
  <c r="E100" i="68"/>
  <c r="E89" i="68"/>
  <c r="E84" i="68"/>
  <c r="E96" i="68"/>
  <c r="E106" i="68"/>
  <c r="E97" i="68"/>
  <c r="E59" i="68"/>
  <c r="E105" i="68"/>
  <c r="E101" i="68"/>
  <c r="E79" i="68"/>
  <c r="E107" i="68"/>
  <c r="E95" i="68"/>
  <c r="H62" i="68" l="1"/>
  <c r="I5" i="16" s="1"/>
  <c r="I10" i="16" s="1"/>
  <c r="H60" i="68"/>
  <c r="H61" i="68" s="1"/>
  <c r="I4" i="16" s="1"/>
  <c r="I9" i="16" s="1"/>
  <c r="H63" i="68"/>
  <c r="I6" i="16" s="1"/>
  <c r="I11" i="16" s="1"/>
  <c r="G100" i="68"/>
  <c r="G96" i="68"/>
  <c r="G101" i="68"/>
  <c r="G59" i="68"/>
  <c r="G89" i="68"/>
  <c r="G106" i="68"/>
  <c r="G105" i="68"/>
  <c r="G95" i="68"/>
  <c r="G84" i="68"/>
  <c r="G102" i="68"/>
  <c r="G107" i="68"/>
  <c r="G97" i="68"/>
  <c r="G79" i="68"/>
  <c r="D35" i="58"/>
  <c r="E63" i="68"/>
  <c r="F6" i="16" s="1"/>
  <c r="F11" i="16" s="1"/>
  <c r="E62" i="68"/>
  <c r="F5" i="16" s="1"/>
  <c r="F10" i="16" s="1"/>
  <c r="E60" i="68"/>
  <c r="F63" i="68"/>
  <c r="G6" i="16" s="1"/>
  <c r="G11" i="16" s="1"/>
  <c r="F60" i="68"/>
  <c r="F61" i="68" s="1"/>
  <c r="G4" i="16" s="1"/>
  <c r="G9" i="16" s="1"/>
  <c r="F62" i="68"/>
  <c r="G5" i="16" s="1"/>
  <c r="G10" i="16" s="1"/>
  <c r="G62" i="68" l="1"/>
  <c r="H5" i="16" s="1"/>
  <c r="H10" i="16" s="1"/>
  <c r="G60" i="68"/>
  <c r="G61" i="68" s="1"/>
  <c r="H4" i="16" s="1"/>
  <c r="H9" i="16" s="1"/>
  <c r="G63" i="68"/>
  <c r="H6" i="16" s="1"/>
  <c r="H11" i="16" s="1"/>
  <c r="E81" i="68"/>
  <c r="E80" i="68"/>
  <c r="E91" i="68"/>
  <c r="E90" i="68"/>
  <c r="E85" i="68"/>
  <c r="E86" i="68"/>
  <c r="E61" i="68"/>
  <c r="F4" i="16" s="1"/>
  <c r="F9" i="16" s="1"/>
  <c r="D9" i="66"/>
  <c r="D13" i="66" s="1"/>
  <c r="I13" i="66" s="1"/>
  <c r="D8" i="66"/>
  <c r="D12" i="66" s="1"/>
  <c r="I12" i="66" s="1"/>
  <c r="D5" i="68"/>
  <c r="I35" i="58"/>
  <c r="D55" i="58"/>
  <c r="H85" i="68"/>
  <c r="H90" i="68"/>
  <c r="H86" i="68"/>
  <c r="H81" i="68"/>
  <c r="H91" i="68"/>
  <c r="H80" i="68"/>
  <c r="F91" i="68"/>
  <c r="F81" i="68"/>
  <c r="F85" i="68"/>
  <c r="F90" i="68"/>
  <c r="F86" i="68"/>
  <c r="F80" i="68"/>
  <c r="G17" i="66" l="1"/>
  <c r="G21" i="66" s="1"/>
  <c r="E17" i="66"/>
  <c r="E21" i="66" s="1"/>
  <c r="F17" i="66"/>
  <c r="F21" i="66" s="1"/>
  <c r="D17" i="66"/>
  <c r="D21" i="66" s="1"/>
  <c r="G80" i="68"/>
  <c r="G90" i="68"/>
  <c r="G86" i="68"/>
  <c r="G81" i="68"/>
  <c r="G91" i="68"/>
  <c r="G85" i="68"/>
  <c r="I5" i="68"/>
  <c r="I16" i="68" s="1"/>
  <c r="D16" i="68"/>
  <c r="D23" i="68" s="1"/>
  <c r="I55" i="58"/>
  <c r="D69" i="58"/>
  <c r="I69" i="58" s="1"/>
  <c r="F16" i="66"/>
  <c r="F20" i="66" s="1"/>
  <c r="D16" i="66"/>
  <c r="D20" i="66" s="1"/>
  <c r="G16" i="66"/>
  <c r="G20" i="66" s="1"/>
  <c r="E16" i="66"/>
  <c r="E20" i="66" s="1"/>
  <c r="D57" i="68" l="1"/>
  <c r="I23" i="68"/>
  <c r="D56" i="68"/>
  <c r="I56" i="68" l="1"/>
  <c r="D58" i="68"/>
  <c r="I57" i="68"/>
  <c r="D59" i="68" l="1"/>
  <c r="D102" i="68"/>
  <c r="I102" i="68" s="1"/>
  <c r="D95" i="68"/>
  <c r="I95" i="68" s="1"/>
  <c r="D107" i="68"/>
  <c r="I107" i="68" s="1"/>
  <c r="D100" i="68"/>
  <c r="I100" i="68" s="1"/>
  <c r="D96" i="68"/>
  <c r="I96" i="68" s="1"/>
  <c r="D84" i="68"/>
  <c r="I84" i="68" s="1"/>
  <c r="D101" i="68"/>
  <c r="I101" i="68" s="1"/>
  <c r="D106" i="68"/>
  <c r="I106" i="68" s="1"/>
  <c r="D79" i="68"/>
  <c r="I79" i="68" s="1"/>
  <c r="D89" i="68"/>
  <c r="I89" i="68" s="1"/>
  <c r="D97" i="68"/>
  <c r="I97" i="68" s="1"/>
  <c r="I58" i="68"/>
  <c r="D105" i="68"/>
  <c r="I105" i="68" s="1"/>
  <c r="D60" i="68" l="1"/>
  <c r="D63" i="68"/>
  <c r="D62" i="68"/>
  <c r="I59" i="68"/>
  <c r="I62" i="68" l="1"/>
  <c r="E5" i="16"/>
  <c r="I63" i="68"/>
  <c r="E6" i="16"/>
  <c r="I60" i="68"/>
  <c r="D85" i="68"/>
  <c r="I85" i="68" s="1"/>
  <c r="D91" i="68"/>
  <c r="I91" i="68" s="1"/>
  <c r="D86" i="68"/>
  <c r="I86" i="68" s="1"/>
  <c r="D80" i="68"/>
  <c r="I80" i="68" s="1"/>
  <c r="D81" i="68"/>
  <c r="I81" i="68" s="1"/>
  <c r="D90" i="68"/>
  <c r="I90" i="68" s="1"/>
  <c r="D61" i="68"/>
  <c r="J5" i="16" l="1"/>
  <c r="E10" i="16"/>
  <c r="I61" i="68"/>
  <c r="E4" i="16"/>
  <c r="J6" i="16"/>
  <c r="E11" i="16"/>
  <c r="J11" i="16" s="1"/>
  <c r="E9" i="16" l="1"/>
  <c r="J9" i="16" s="1"/>
  <c r="J4" i="16"/>
  <c r="B3" i="45"/>
  <c r="J10" i="16"/>
</calcChain>
</file>

<file path=xl/sharedStrings.xml><?xml version="1.0" encoding="utf-8"?>
<sst xmlns="http://schemas.openxmlformats.org/spreadsheetml/2006/main" count="5053" uniqueCount="860">
  <si>
    <t>2015/16</t>
  </si>
  <si>
    <t>2016/17</t>
  </si>
  <si>
    <t>2017/18</t>
  </si>
  <si>
    <t>2018/19</t>
  </si>
  <si>
    <t>2019/20</t>
  </si>
  <si>
    <t>2020/21</t>
  </si>
  <si>
    <t>2021/22</t>
  </si>
  <si>
    <t>2022/23</t>
  </si>
  <si>
    <t>2023/24</t>
  </si>
  <si>
    <t>2024/25</t>
  </si>
  <si>
    <t>Units</t>
  </si>
  <si>
    <t>Price base</t>
  </si>
  <si>
    <t>%</t>
  </si>
  <si>
    <t>Index</t>
  </si>
  <si>
    <t>Unit</t>
  </si>
  <si>
    <t>2013/14</t>
  </si>
  <si>
    <t>2014/15</t>
  </si>
  <si>
    <t>Pension deficit</t>
  </si>
  <si>
    <t>Pension deficit repair</t>
  </si>
  <si>
    <t>Professional fees</t>
  </si>
  <si>
    <t>Total</t>
  </si>
  <si>
    <t>000s</t>
  </si>
  <si>
    <t>Apr 2019 CPIH</t>
  </si>
  <si>
    <t xml:space="preserve">Total </t>
  </si>
  <si>
    <t>Group Recharge - by SONI TSO</t>
  </si>
  <si>
    <t>Group Recharge - to SONI TSO</t>
  </si>
  <si>
    <t>SONI TSO Price Control (2020-2025) Business Plan Information Requirement: SONI TSO RAB overview</t>
  </si>
  <si>
    <t>RAB category</t>
  </si>
  <si>
    <t>Description</t>
  </si>
  <si>
    <t>Actual</t>
  </si>
  <si>
    <t>Best estimate</t>
  </si>
  <si>
    <t>Forecast</t>
  </si>
  <si>
    <t>2007/2008</t>
  </si>
  <si>
    <t>2008/09</t>
  </si>
  <si>
    <t>2009/10</t>
  </si>
  <si>
    <t>2010/11</t>
  </si>
  <si>
    <t>2011/12</t>
  </si>
  <si>
    <t>2012/13</t>
  </si>
  <si>
    <t>Building</t>
  </si>
  <si>
    <t>Opening RAB</t>
  </si>
  <si>
    <t>£000s</t>
  </si>
  <si>
    <t>Additions (actual or forecast)</t>
  </si>
  <si>
    <t>Proceeds from disposal</t>
  </si>
  <si>
    <t>Write offs/Impairments</t>
  </si>
  <si>
    <t>RAB depreciation</t>
  </si>
  <si>
    <t>Closing RAB</t>
  </si>
  <si>
    <t>Average RAB</t>
  </si>
  <si>
    <t>Non-building</t>
  </si>
  <si>
    <t>Special projects</t>
  </si>
  <si>
    <t>Write-offs/Impairments</t>
  </si>
  <si>
    <t>Pre-construction projects</t>
  </si>
  <si>
    <t>Proceeds from transfer to NIE</t>
  </si>
  <si>
    <t>Nominal</t>
  </si>
  <si>
    <t>April 2019 CPIH</t>
  </si>
  <si>
    <t>CPIH conversion factor from nominal to base year 2018/19</t>
  </si>
  <si>
    <t>CPIH conversion factor from BPDT to nominal</t>
  </si>
  <si>
    <t>Nominal prices</t>
  </si>
  <si>
    <t>Buildings</t>
  </si>
  <si>
    <t>Non-building RAB</t>
  </si>
  <si>
    <t>Additions</t>
  </si>
  <si>
    <t>Depreciation</t>
  </si>
  <si>
    <t>Building RAB</t>
  </si>
  <si>
    <t>TNPP RAB</t>
  </si>
  <si>
    <t>Transfers to NIE</t>
  </si>
  <si>
    <t>CPIH stripped (April 2019)</t>
  </si>
  <si>
    <t>RAB additions</t>
  </si>
  <si>
    <t>Special projects RAB</t>
  </si>
  <si>
    <t>Gearing</t>
  </si>
  <si>
    <t>Total market return</t>
  </si>
  <si>
    <t>Risk free rate</t>
  </si>
  <si>
    <t>Equity risk premium</t>
  </si>
  <si>
    <t>Asset beta</t>
  </si>
  <si>
    <t>Debt beta</t>
  </si>
  <si>
    <t>Cost of debt</t>
  </si>
  <si>
    <t>Calculations</t>
  </si>
  <si>
    <t>Equity beta</t>
  </si>
  <si>
    <t>Post tax cost of equity</t>
  </si>
  <si>
    <t>Pre-tax cost of equity</t>
  </si>
  <si>
    <t>Pre-tax WACC</t>
  </si>
  <si>
    <t>Vanilla WACC</t>
  </si>
  <si>
    <t>Months in period</t>
  </si>
  <si>
    <t>pre 1/11/07</t>
  </si>
  <si>
    <t>30/09/2009 (Dt)</t>
  </si>
  <si>
    <t>30/03/2010 (Dt)</t>
  </si>
  <si>
    <t>Additions (allowed)</t>
  </si>
  <si>
    <t>Transfer to NIE</t>
  </si>
  <si>
    <t>Non-Building</t>
  </si>
  <si>
    <t>Pre-construction assets</t>
  </si>
  <si>
    <t>Pre-tax return on equity</t>
  </si>
  <si>
    <t>Pre-tax remuneration for debt finance</t>
  </si>
  <si>
    <t>Other risk remuneration</t>
  </si>
  <si>
    <t>SONI TSO Price Control (2020-2025) Business Plan Information Requirement: SONI TSO Finance Parameters</t>
  </si>
  <si>
    <t>Actual/Best estimate</t>
  </si>
  <si>
    <t>WACC Parameters (for notional efficient TSO)</t>
  </si>
  <si>
    <t>Risk free rate (CPIH stripped)</t>
  </si>
  <si>
    <t>Equity risk Premium</t>
  </si>
  <si>
    <t>Debt Beta</t>
  </si>
  <si>
    <t>Asset Beta</t>
  </si>
  <si>
    <t>Equity Beta</t>
  </si>
  <si>
    <t>Cost of Debt (CPIH stripped)</t>
  </si>
  <si>
    <t>Effective corporation tax rate used to calculate Pre-tax WACC</t>
  </si>
  <si>
    <t>Post-tax Cost of Equity (CPIH stripped)</t>
  </si>
  <si>
    <t>Pre-tax Cost of Equity (CPIH stripped)</t>
  </si>
  <si>
    <t>Vanilla WACC (CPIH stripped)</t>
  </si>
  <si>
    <t>Pre-tax WACC (CPIH stripped)</t>
  </si>
  <si>
    <t>Inflation parameters</t>
  </si>
  <si>
    <t>CPIH (actual/forecast)</t>
  </si>
  <si>
    <t>CPIH growth</t>
  </si>
  <si>
    <t>RPI (actual/forecast)</t>
  </si>
  <si>
    <t>RPI growth</t>
  </si>
  <si>
    <t>CPI (actual/forecast)</t>
  </si>
  <si>
    <t>CPI growth</t>
  </si>
  <si>
    <t>Margin</t>
  </si>
  <si>
    <t>Qualifying revenues</t>
  </si>
  <si>
    <t>Transmission Use of System (TUoS) revenues</t>
  </si>
  <si>
    <t>Apr 2019 (CPIH)</t>
  </si>
  <si>
    <t>System Support Services (SSS) revenues</t>
  </si>
  <si>
    <t xml:space="preserve">Imperfection Charge (DBC) revenues </t>
  </si>
  <si>
    <t>Other (please specify)</t>
  </si>
  <si>
    <t>Total Forecast qualifying revenues</t>
  </si>
  <si>
    <t>Margin rate (%)</t>
  </si>
  <si>
    <t>Parent Company Guarantee</t>
  </si>
  <si>
    <t>PCG value (Notional Efficient TSO)</t>
  </si>
  <si>
    <t>Value of Parent Company Guarantee (PCG) supporting notional efficient TSO</t>
  </si>
  <si>
    <t>PCG remuneration</t>
  </si>
  <si>
    <t>PCG remuneration rate (%)</t>
  </si>
  <si>
    <t>SONI TSO Price Control (2020-2025) Business Plan Information Requirement: Build up of the SONI TSO price control</t>
  </si>
  <si>
    <t>ACTUAL</t>
  </si>
  <si>
    <t>BEST ESTIMATE</t>
  </si>
  <si>
    <t>FORECAST</t>
  </si>
  <si>
    <t>Opex allowances (recovered through revenue in year)</t>
  </si>
  <si>
    <t>1. Allowances on an ex ante basis subject to sharing factor (baseline)</t>
  </si>
  <si>
    <t>2. Allowances for costs up to approved cap (actual/forecast baseline)</t>
  </si>
  <si>
    <t>3. Recovery of costs incurred without cap (actual/central forecast)</t>
  </si>
  <si>
    <t>RAB depreciation and write-offs</t>
  </si>
  <si>
    <t>Total RAB depreciation</t>
  </si>
  <si>
    <t>Write offs</t>
  </si>
  <si>
    <t>Side RAB</t>
  </si>
  <si>
    <t>Pre-construction projects abandoned and expensed in year</t>
  </si>
  <si>
    <t>Remuneration of equity capital and debt finance</t>
  </si>
  <si>
    <t>Return on RAB (Building and Non-Building)</t>
  </si>
  <si>
    <t>Return on pre-construction assets RAB</t>
  </si>
  <si>
    <t>Margin on collection agent revenues</t>
  </si>
  <si>
    <t>Asjustment for asymmetric risk (if applicable)</t>
  </si>
  <si>
    <t>Incentive and other adjustments</t>
  </si>
  <si>
    <t>Proposed reward (penalty) from business plan assessment</t>
  </si>
  <si>
    <t>Adjustment for cost-risk sharing incentive (forecast/actual)</t>
  </si>
  <si>
    <t>DBC incentive (forecast/actual)</t>
  </si>
  <si>
    <t>K factor - in Tariff</t>
  </si>
  <si>
    <t>Qt - Adjustment Factor</t>
  </si>
  <si>
    <t>Total maximum regulated revenue</t>
  </si>
  <si>
    <t>Breakdown of total maximum regulated revenue</t>
  </si>
  <si>
    <t>Recovered through TUoS charges</t>
  </si>
  <si>
    <t>Recovered through SSS charges</t>
  </si>
  <si>
    <t>Recovered through Moyle Interconnector charges</t>
  </si>
  <si>
    <t>check</t>
  </si>
  <si>
    <t>Allowed capex (added to RAB in year)</t>
  </si>
  <si>
    <t>Asymmetric risk allowance</t>
  </si>
  <si>
    <t>Margin on qualifying revenues</t>
  </si>
  <si>
    <t>Notional RAB equity</t>
  </si>
  <si>
    <t>SONI TSO Price Control (2020-2025) Business Plan Information Requirement: Detailed Revenues &amp; Costs (Actual company)</t>
  </si>
  <si>
    <t>Actual Company</t>
  </si>
  <si>
    <t>Licence term</t>
  </si>
  <si>
    <t>Revenue elements</t>
  </si>
  <si>
    <t>System Support Services (SSS) charges</t>
  </si>
  <si>
    <t>Transmission Use of System (TUoS) charges</t>
  </si>
  <si>
    <t>Moyle interconnector charges (CAIRt)</t>
  </si>
  <si>
    <t>K factor provision (SSS, TUoS and CAIRt)</t>
  </si>
  <si>
    <t>Connections</t>
  </si>
  <si>
    <t>Income from transfer of pre-construction assets to NIEN</t>
  </si>
  <si>
    <t>Other Income Moyle Collection Agreement)</t>
  </si>
  <si>
    <t>Other Income (Interco GTUoS)</t>
  </si>
  <si>
    <t>Other Income (Countertrading Income) - Dt</t>
  </si>
  <si>
    <t>Other Income (please specify)</t>
  </si>
  <si>
    <t>Total Revenue</t>
  </si>
  <si>
    <t>Direct Costs (Central forecast)</t>
  </si>
  <si>
    <t>System Support Services (Ancillary Services)</t>
  </si>
  <si>
    <t>Other Direct Costs (Interco GTUoS)</t>
  </si>
  <si>
    <t>Other Direct Costs (Countertrading Costs) - Dt</t>
  </si>
  <si>
    <t>Other Direct Costs ENTSOe (ITC Costs) - Dt</t>
  </si>
  <si>
    <t>Total Direct Costs</t>
  </si>
  <si>
    <t>Gross Profit</t>
  </si>
  <si>
    <t>Other Operating Costs (Central forecast)</t>
  </si>
  <si>
    <t>Payroll (including indirect staff costs)</t>
  </si>
  <si>
    <t>Telecoms and IT</t>
  </si>
  <si>
    <t>Facilities</t>
  </si>
  <si>
    <t>Group recharges (net)</t>
  </si>
  <si>
    <t>Other opex</t>
  </si>
  <si>
    <t>Accounting depreciation</t>
  </si>
  <si>
    <t>Payroll (including indirect staff costs) (non Bt) - 5 Connections Staff</t>
  </si>
  <si>
    <t>Professional fees (non Bt) - CMA Cost Order Submission</t>
  </si>
  <si>
    <t>Other costs (Entsoe membership) Dt</t>
  </si>
  <si>
    <t>Other costs (Coreso) Dt</t>
  </si>
  <si>
    <t>Other costs (Licence Fee) Dt - includes UR CMA costs 2019</t>
  </si>
  <si>
    <t>Other costs (Derogation Costs) Dt</t>
  </si>
  <si>
    <t>Other costs (Moyle ICMP) Dt</t>
  </si>
  <si>
    <t>Other costs (TDPNI) Dt</t>
  </si>
  <si>
    <t>Other costs (I-SEM Reopeners) Dt</t>
  </si>
  <si>
    <t>Other costs (Section 75 Pension Costs)</t>
  </si>
  <si>
    <t>Total Operating Costs</t>
  </si>
  <si>
    <t>Operating Profit/(Loss)</t>
  </si>
  <si>
    <t>Interest income received</t>
  </si>
  <si>
    <t>Interest paid</t>
  </si>
  <si>
    <t>Other finance costs (K Factor)</t>
  </si>
  <si>
    <t>Total Interest Income and Finance Costs</t>
  </si>
  <si>
    <t>Profit/(Loss) before Tax</t>
  </si>
  <si>
    <t>Corporation tax (charge)/credit</t>
  </si>
  <si>
    <t>RPI conversion factor to nominal (historical)</t>
  </si>
  <si>
    <t>RPI conversion factor to nominal (forecast)</t>
  </si>
  <si>
    <t>RPI conversion factor to nominal</t>
  </si>
  <si>
    <t>Corporation tax rate</t>
  </si>
  <si>
    <t>RoRE analysis</t>
  </si>
  <si>
    <t>CPIH conversion factor from nominal to base year 2018/19 (forecast)</t>
  </si>
  <si>
    <t>CPIH conversion factor from nominal to base year 2018/19 (historical)</t>
  </si>
  <si>
    <t>Asset life assumptions for regulatory depreciation</t>
  </si>
  <si>
    <t>Non-building assets</t>
  </si>
  <si>
    <t>Building assets</t>
  </si>
  <si>
    <t>April 2014 RPI</t>
  </si>
  <si>
    <t xml:space="preserve">Additions before 31/03/2010 </t>
  </si>
  <si>
    <t>DT additions before 31/03/2010</t>
  </si>
  <si>
    <t>Hardcoded depreciation allowances for pre-2007 assets</t>
  </si>
  <si>
    <t>Hardcoded depreciation allowances for assets funded through Dt (1)</t>
  </si>
  <si>
    <t>Hardcoded depreciation allowances for assets funded through Dt (2)</t>
  </si>
  <si>
    <t>Allowed RAB additions for 01/10/2015 to 30/09/2020</t>
  </si>
  <si>
    <t>Allowed RAB additions for 01/04/2010 to 30/09/2015</t>
  </si>
  <si>
    <t>Depreciation calculations</t>
  </si>
  <si>
    <t>For RAB additions in period ending</t>
  </si>
  <si>
    <t>Allowed RAB additions 1/04/2010 to 30/09/2015</t>
  </si>
  <si>
    <t>Opening value on 1 May 2014</t>
  </si>
  <si>
    <t>Years</t>
  </si>
  <si>
    <t>Special projects (5 year assets)</t>
  </si>
  <si>
    <t>Special Projects</t>
  </si>
  <si>
    <t>TNPP Transfers to NIE</t>
  </si>
  <si>
    <t>TNPP write-offs</t>
  </si>
  <si>
    <t>1.5-3%</t>
  </si>
  <si>
    <t>-</t>
  </si>
  <si>
    <t>Average</t>
  </si>
  <si>
    <t>Nominal cost of debt</t>
  </si>
  <si>
    <t>RoRE impact of upside and downside scenarios</t>
  </si>
  <si>
    <t>High opex overspend (as a percentage of opex allowance)</t>
  </si>
  <si>
    <t>High opex underspend (as a percentage of opex allowance)</t>
  </si>
  <si>
    <t>WACC parameters</t>
  </si>
  <si>
    <t xml:space="preserve">IT &amp; Communications </t>
  </si>
  <si>
    <t xml:space="preserve">Other Opex </t>
  </si>
  <si>
    <t>Forecast TNPP transfers to NIE and write-offs</t>
  </si>
  <si>
    <t>Write-offs/impairments</t>
  </si>
  <si>
    <t>Actual reported capital expenditure for 01/10/2015 to 30/09/2020</t>
  </si>
  <si>
    <t>31/09/2021</t>
  </si>
  <si>
    <t>31/09/2022</t>
  </si>
  <si>
    <t>31/09/2023</t>
  </si>
  <si>
    <t>31/09/2024</t>
  </si>
  <si>
    <t>31/09/2025</t>
  </si>
  <si>
    <t>Indexation</t>
  </si>
  <si>
    <t>Allowed depreciation in the licence for 2015-20</t>
  </si>
  <si>
    <t>Allowed RAB additions post 50% cost sharing for 01/10/2015 to 30/09/2020</t>
  </si>
  <si>
    <t>Reported RPI in April of the year (e.g. April 2014 for 2013/14)</t>
  </si>
  <si>
    <t>Actual reported expenditure (2015-20)</t>
  </si>
  <si>
    <t>Allowed RAB additions (caps) (2015-20)</t>
  </si>
  <si>
    <t>Conversion from April 2019 CPIH to nominal</t>
  </si>
  <si>
    <t>Additions (50% cost sharing during 2015-20 period)</t>
  </si>
  <si>
    <t>Split</t>
  </si>
  <si>
    <t>Modelled depreciation (after 50% cost sharing during 2015-20 period)</t>
  </si>
  <si>
    <t>Modelled RAB up to 30 September 2020</t>
  </si>
  <si>
    <t>Modelled depreciaton</t>
  </si>
  <si>
    <t>Difference</t>
  </si>
  <si>
    <t>In April 2014 RPI terms</t>
  </si>
  <si>
    <t>In April 2019 CPIH terms</t>
  </si>
  <si>
    <t>Profile (for building and non-building RAB)</t>
  </si>
  <si>
    <t>Profiled adjustment to modelled depreciation</t>
  </si>
  <si>
    <t>Allowed additions</t>
  </si>
  <si>
    <t>Modelled depreciation</t>
  </si>
  <si>
    <t>Adjustment to modelled depreciation</t>
  </si>
  <si>
    <t>RAB depreciation (Nominal)</t>
  </si>
  <si>
    <t>Inflation indices</t>
  </si>
  <si>
    <t>Additions in the price control for 01/04/2010 to 30/09/2015</t>
  </si>
  <si>
    <t>Allowed additions for 01/04/2010 to 30/09/2015</t>
  </si>
  <si>
    <t>Forecast RAB additions for 01/10/2015 to 30/09/2020</t>
  </si>
  <si>
    <t>Depreciation allowance for 01/10/2015 to 30/09/2020</t>
  </si>
  <si>
    <t>RAB additions after the application of 50% cost sharing</t>
  </si>
  <si>
    <t>Legacy (pre-2015) additions and depreciation</t>
  </si>
  <si>
    <t>2015-20 additions and depreciation</t>
  </si>
  <si>
    <t>Period ending</t>
  </si>
  <si>
    <t>Legacy (pre-2015) additions</t>
  </si>
  <si>
    <t>Modelled depreciation on pre-2020 assets</t>
  </si>
  <si>
    <t>Modelled depreciation on post-2020 assets</t>
  </si>
  <si>
    <t>Start date</t>
  </si>
  <si>
    <t>End date</t>
  </si>
  <si>
    <t>Legacy (pre-2015) RAB additions and depreciation</t>
  </si>
  <si>
    <t>Dt additions before 31/03/2010</t>
  </si>
  <si>
    <t>2015-20 RAB additions and depreciation in the post-CMA model</t>
  </si>
  <si>
    <t>Transfers to NIE approved by UR (2015-20)</t>
  </si>
  <si>
    <t>Write-offs/Impairments approved by UR (2015-20)</t>
  </si>
  <si>
    <t>Split between Non-building and building RABs</t>
  </si>
  <si>
    <t>Reported overspends by SONI during 2010-15</t>
  </si>
  <si>
    <t>Reported CPIH in April of the year (e.g. April 2019 for 2018/19)</t>
  </si>
  <si>
    <t>Total return on RAB</t>
  </si>
  <si>
    <t>Uplift to be applied to 2019/20 RAB (in RPI) to calculate 2020/21 RAB (in CPIH)</t>
  </si>
  <si>
    <t>Factor</t>
  </si>
  <si>
    <t>Non-Building assets - Application of 50% cost sharing for the 2015-20 period</t>
  </si>
  <si>
    <t>Building assets - Application of 50% cost sharing for the 2015-20 period</t>
  </si>
  <si>
    <t>Modelled depreciation forecasts for 2020-25</t>
  </si>
  <si>
    <t>Total depreciation forecast for 2020-25</t>
  </si>
  <si>
    <t xml:space="preserve">Allowed RAB additions for Capex overspends during 2010-2015 </t>
  </si>
  <si>
    <t>Implied depreciation allowed through the BIt term</t>
  </si>
  <si>
    <t>Post-reconciliation RAB up to 2019/20</t>
  </si>
  <si>
    <t>Earnings and profit metrics</t>
  </si>
  <si>
    <t>Adjusted interest coverage ratio (AICR)</t>
  </si>
  <si>
    <t>EBIT/revenue including TUoS and DBC</t>
  </si>
  <si>
    <t>EBIT/revenue including TUoS excluding DBC</t>
  </si>
  <si>
    <t>EBIT/Notional interest (using regulatory depreciation)</t>
  </si>
  <si>
    <t>(EBITDA-interest-tax)/(notional debt element of RAB)</t>
  </si>
  <si>
    <t>(EBITDA-RAB depreciation-tax)/Notional interest</t>
  </si>
  <si>
    <t>FFO/Net debt</t>
  </si>
  <si>
    <t>PMICR</t>
  </si>
  <si>
    <t>SONI/ KPMG threshold</t>
  </si>
  <si>
    <t>Financial ratios</t>
  </si>
  <si>
    <t>High capex overspend (on non-building assets in year 1)</t>
  </si>
  <si>
    <t>Moderate capex overspend (on non-building assets in year 1)</t>
  </si>
  <si>
    <t>High capex underspend (on non-building assets in year 1)</t>
  </si>
  <si>
    <t>Moderate capex underspend (on non-building assets in year 1)</t>
  </si>
  <si>
    <t>RAB additions during 01/10/2020 to 30/09/2025</t>
  </si>
  <si>
    <t>RAB Summary</t>
  </si>
  <si>
    <t>Opening value</t>
  </si>
  <si>
    <t>Closing value</t>
  </si>
  <si>
    <t>Factor to convert RAB to nominal terms</t>
  </si>
  <si>
    <t>RAB Summary (April 2019 CPIH indexed)</t>
  </si>
  <si>
    <t>All RABs</t>
  </si>
  <si>
    <t>TNPP transfers to NIE</t>
  </si>
  <si>
    <t>In period ending</t>
  </si>
  <si>
    <t>RAB: Non-Building assets</t>
  </si>
  <si>
    <t>RAB: Building assets</t>
  </si>
  <si>
    <t>–</t>
  </si>
  <si>
    <t>RAB forecasts for the 2020-25 period (Building and non-building assets)</t>
  </si>
  <si>
    <t>Non-Building assets</t>
  </si>
  <si>
    <t>RAB: Pre-construction assets</t>
  </si>
  <si>
    <t>RAB: Special Projects</t>
  </si>
  <si>
    <t>Depreciaton period ending</t>
  </si>
  <si>
    <t>Depreciation calculations for RAB additions in period ending</t>
  </si>
  <si>
    <t>RAB: TNPP</t>
  </si>
  <si>
    <t>Opening value on 1 November 2007</t>
  </si>
  <si>
    <t>Opening value on 1 October 2010</t>
  </si>
  <si>
    <t>Price basis conversion factors</t>
  </si>
  <si>
    <t>RAB: SONI BP data tables (Appendix U)</t>
  </si>
  <si>
    <t>RAB additions: SONI BP data tables (Appendix U)</t>
  </si>
  <si>
    <t>RAB depreciation: SONI BP data tables (Appendix U)</t>
  </si>
  <si>
    <t>RAB Summary (Nominal)</t>
  </si>
  <si>
    <t>Impact on RAB return</t>
  </si>
  <si>
    <t>Non-Buildings</t>
  </si>
  <si>
    <t>Depreciation according to SONI's regulatory accounts (2015/16 to 2017/18)</t>
  </si>
  <si>
    <t>Combined scenarios</t>
  </si>
  <si>
    <t>Extreme downside</t>
  </si>
  <si>
    <t>Moderate downside</t>
  </si>
  <si>
    <t>Extreme upside</t>
  </si>
  <si>
    <t>Moderate upside</t>
  </si>
  <si>
    <t>TSO</t>
  </si>
  <si>
    <t>Incentive reward</t>
  </si>
  <si>
    <t>Incentive penalty</t>
  </si>
  <si>
    <t>Debt cost (positive)</t>
  </si>
  <si>
    <t>Debt cost (negative)</t>
  </si>
  <si>
    <t>Notional TSO</t>
  </si>
  <si>
    <t>ANH</t>
  </si>
  <si>
    <t>HDD</t>
  </si>
  <si>
    <t>NES</t>
  </si>
  <si>
    <t>SVT</t>
  </si>
  <si>
    <t>SWT</t>
  </si>
  <si>
    <t>SRN</t>
  </si>
  <si>
    <t>TMS</t>
  </si>
  <si>
    <t>UU</t>
  </si>
  <si>
    <t>WSH</t>
  </si>
  <si>
    <t>WSX</t>
  </si>
  <si>
    <t>YKY</t>
  </si>
  <si>
    <t>AFW</t>
  </si>
  <si>
    <t>BRL</t>
  </si>
  <si>
    <t>PRT</t>
  </si>
  <si>
    <t>SEW</t>
  </si>
  <si>
    <t>SSC</t>
  </si>
  <si>
    <t>SES</t>
  </si>
  <si>
    <t>Retail Costs</t>
  </si>
  <si>
    <t>Retail Costs -</t>
  </si>
  <si>
    <t>C-Mex &amp; D-Mex</t>
  </si>
  <si>
    <t>C-Mex &amp; D-Mex -</t>
  </si>
  <si>
    <t>Revenue</t>
  </si>
  <si>
    <t>Revenue -</t>
  </si>
  <si>
    <t>Financing costs</t>
  </si>
  <si>
    <t>Financing costs -</t>
  </si>
  <si>
    <t>ODIs</t>
  </si>
  <si>
    <t>ODIs -</t>
  </si>
  <si>
    <t>Base return on equity</t>
  </si>
  <si>
    <t>TNPP</t>
  </si>
  <si>
    <t>Severn Trent</t>
  </si>
  <si>
    <t>South West Water</t>
  </si>
  <si>
    <t>United Utilities</t>
  </si>
  <si>
    <t>High opex overspend</t>
  </si>
  <si>
    <t>Moderate opex overspend</t>
  </si>
  <si>
    <t>High opex underspend</t>
  </si>
  <si>
    <t>Opex scenarios</t>
  </si>
  <si>
    <t>All water company average</t>
  </si>
  <si>
    <t>Listed company average</t>
  </si>
  <si>
    <t>Listed water company average</t>
  </si>
  <si>
    <t>RAB: Total</t>
  </si>
  <si>
    <t>RAB charts</t>
  </si>
  <si>
    <t>RAB closing value</t>
  </si>
  <si>
    <t>Notional debt at 55% gearing</t>
  </si>
  <si>
    <t>April 2019 RPI</t>
  </si>
  <si>
    <t>Conversion factor from BPDT to nominal</t>
  </si>
  <si>
    <t>Inflation forecasts used in this model</t>
  </si>
  <si>
    <t>Cost and performance incentives</t>
  </si>
  <si>
    <t>Depreciation figures reported by SONI for the 2015-20 period</t>
  </si>
  <si>
    <t>Capital expenditure reported by SONI for the 2015-20 period</t>
  </si>
  <si>
    <t>Table B-4 of Appendix B of SONI's business plan submission</t>
  </si>
  <si>
    <t>Allowed IT capex</t>
  </si>
  <si>
    <t>Actual IT capex</t>
  </si>
  <si>
    <t>Table B-6 of Appendix B of SONI's business plan submission</t>
  </si>
  <si>
    <t>Actual facilities capex</t>
  </si>
  <si>
    <t>Allowed facilities capex</t>
  </si>
  <si>
    <t>Actual non-building capex (labelled as IT capex)</t>
  </si>
  <si>
    <t>Assumed and forecast actual depreciation for the BIt term in the TSO licence</t>
  </si>
  <si>
    <t>Response to query UR 109</t>
  </si>
  <si>
    <t>Non-building RAB additions</t>
  </si>
  <si>
    <t>Building RAB additions</t>
  </si>
  <si>
    <t>Table 4 of SONI's BPDT submission</t>
  </si>
  <si>
    <t>RAB depreciation according to SONI's BPDT Table 4</t>
  </si>
  <si>
    <t>RAB depreciation according to response to query UR 109</t>
  </si>
  <si>
    <t>Depreciation allowed through tariffs through the Bt and BIt terms</t>
  </si>
  <si>
    <t>Depreciation allowed through tariffs through Bt and BIt</t>
  </si>
  <si>
    <t>Difference between modelled depreciation and depreciation allowed through tariffs (2015-20)</t>
  </si>
  <si>
    <t>Modelled depreciation (2015-20)</t>
  </si>
  <si>
    <t>Depreciation allowed through tariffs (2015-20)</t>
  </si>
  <si>
    <t>Forecasts of depreciation used for tariff setting in the 2015-20 period</t>
  </si>
  <si>
    <t>Adjustment to depreciation during the 2020-25 period</t>
  </si>
  <si>
    <t>Ratio of modelled depreciation for building and non-building assets</t>
  </si>
  <si>
    <t>Actual depreciation</t>
  </si>
  <si>
    <t>Capex overspend for 2010-15</t>
  </si>
  <si>
    <t>Allowances for Capex overspends in the 2010-15 period</t>
  </si>
  <si>
    <t>Allowed RAB additions</t>
  </si>
  <si>
    <t>Allowed depreciation</t>
  </si>
  <si>
    <t>RAB: UR modelled and forecast</t>
  </si>
  <si>
    <t>Writeoffs</t>
  </si>
  <si>
    <t>RAB comparison</t>
  </si>
  <si>
    <t>Risk remuneration rate on qualifying expenditure</t>
  </si>
  <si>
    <t>SONI BPDT RAB (averages)</t>
  </si>
  <si>
    <t>UR RAB (averages)</t>
  </si>
  <si>
    <t>Notional equity at 55% gearing</t>
  </si>
  <si>
    <t>PCG</t>
  </si>
  <si>
    <t>WACC calculations</t>
  </si>
  <si>
    <t>Inputs from the post-CMA financial model for 2015-20</t>
  </si>
  <si>
    <t>Other RAB inputs</t>
  </si>
  <si>
    <t>Payroll (excluding network planning staff)</t>
  </si>
  <si>
    <t>IS Infrastructure</t>
  </si>
  <si>
    <t>Corporate Systems</t>
  </si>
  <si>
    <t>Energy Management Systems- All Island Operations</t>
  </si>
  <si>
    <t>Facilities improvements</t>
  </si>
  <si>
    <t>Telecomms</t>
  </si>
  <si>
    <t>Data &amp; Analytics</t>
  </si>
  <si>
    <t>All Island Metering</t>
  </si>
  <si>
    <t>Near Time Smart Outage</t>
  </si>
  <si>
    <t>Alternative DRBC Site</t>
  </si>
  <si>
    <t>Physical Security</t>
  </si>
  <si>
    <t>Cyber Security</t>
  </si>
  <si>
    <t>Control Centre Training</t>
  </si>
  <si>
    <t>Capacity Market</t>
  </si>
  <si>
    <t>DSU Compliance with State Aid</t>
  </si>
  <si>
    <t>Cloud Adoption</t>
  </si>
  <si>
    <t>Operating Model</t>
  </si>
  <si>
    <t>Control Centre Tools</t>
  </si>
  <si>
    <t>DS30</t>
  </si>
  <si>
    <t>Clean Energy Package (Early Stages)</t>
  </si>
  <si>
    <t xml:space="preserve">Other remuneration </t>
  </si>
  <si>
    <t>Forecast expenditure subject to conditional cost-sharing</t>
  </si>
  <si>
    <t>Write-offs/impairments deducted from TNPP RAB</t>
  </si>
  <si>
    <t>System Support Services (SSS) costs</t>
  </si>
  <si>
    <t>SONI TSO Price Control (2020-2025) Business Plan Information Requirement: Detailed Revenues &amp; Costs (Notional Efficient TSO)</t>
  </si>
  <si>
    <t>Notional Efficient TSO</t>
  </si>
  <si>
    <t>Income from transfer of pre-construction assets to NIE</t>
  </si>
  <si>
    <t>Other finance costs (please specify)</t>
  </si>
  <si>
    <t>Amounts payable to NIE for Transmission Use of System (TUoS)</t>
  </si>
  <si>
    <t>Other costs payable by the TSO (Interco GTUoS)</t>
  </si>
  <si>
    <t xml:space="preserve">Connections </t>
  </si>
  <si>
    <t>Moyle collection agreement</t>
  </si>
  <si>
    <t>Forecast RAB additions (2020-25)</t>
  </si>
  <si>
    <t>Forecast transfers to NIE (2020-25)</t>
  </si>
  <si>
    <t>Forecast write-offs/Impairments (2020-25)</t>
  </si>
  <si>
    <t>Actual reported and SONI forecast expenditure (2015-20)</t>
  </si>
  <si>
    <t>2015-20 period (Actual reported and forecast)</t>
  </si>
  <si>
    <t>RAB: Pre-construction assets (actual and forecasts)</t>
  </si>
  <si>
    <t>2020-25 period (forecast)</t>
  </si>
  <si>
    <t>RAB up to 2020 (actual and forecast)</t>
  </si>
  <si>
    <t>RAB from 2020 onwards (forecast)</t>
  </si>
  <si>
    <t>Actual and forecast reported RAB additions (2015-20)</t>
  </si>
  <si>
    <t>Average RAB (forecast)</t>
  </si>
  <si>
    <t>Return on RAB (forecast)</t>
  </si>
  <si>
    <t>Opex and other costs expensed in year</t>
  </si>
  <si>
    <t>Building assets RAB</t>
  </si>
  <si>
    <t>Non-building assets RAB</t>
  </si>
  <si>
    <t>Special Projects RAB</t>
  </si>
  <si>
    <t>TNPP assets RAB</t>
  </si>
  <si>
    <t>RAB return</t>
  </si>
  <si>
    <t>Moyle interconnector charges</t>
  </si>
  <si>
    <t>Connections revenue</t>
  </si>
  <si>
    <t>Regulatory depreciation and TNPP revenues/write-offs</t>
  </si>
  <si>
    <t>Debt finance costs</t>
  </si>
  <si>
    <t>Earnings before interest, tax, depreciation (EBITDA)</t>
  </si>
  <si>
    <t>Other inputs</t>
  </si>
  <si>
    <t>Performance evaluation framework</t>
  </si>
  <si>
    <t>Rewards/(penalties) subject to global cap</t>
  </si>
  <si>
    <t>K factor forecasts</t>
  </si>
  <si>
    <t>Forecast K factor adjustment</t>
  </si>
  <si>
    <t>Performance evalution framework reward/penalty</t>
  </si>
  <si>
    <t>K factor adjustment</t>
  </si>
  <si>
    <t>RoRE scenarios</t>
  </si>
  <si>
    <t>Impact on profit (loss)</t>
  </si>
  <si>
    <t>Impact on corporation tax liability</t>
  </si>
  <si>
    <t>Net impact on profit after tax for RoRe</t>
  </si>
  <si>
    <t>Impact on RoRE</t>
  </si>
  <si>
    <t>Moderate penalty (£0.5m)</t>
  </si>
  <si>
    <t>Moderate reward (£0.5m)</t>
  </si>
  <si>
    <t>Maximum incentive penalty</t>
  </si>
  <si>
    <t>Maximum incentive reward</t>
  </si>
  <si>
    <t>Moderate incentive penalty</t>
  </si>
  <si>
    <t>Moderate incentive reward</t>
  </si>
  <si>
    <t>Debt interest rate scenarios</t>
  </si>
  <si>
    <t>Over/underspend</t>
  </si>
  <si>
    <t>Penalty/reward</t>
  </si>
  <si>
    <t>High interest rates</t>
  </si>
  <si>
    <t>Moderately high interest rates</t>
  </si>
  <si>
    <t>Low interest rates</t>
  </si>
  <si>
    <t>Moderately low incentive rates</t>
  </si>
  <si>
    <t>Difference relative to forecast nominal rate</t>
  </si>
  <si>
    <t>High capex overspend in year 1</t>
  </si>
  <si>
    <t>Amount of over/underspend</t>
  </si>
  <si>
    <t>Allowed change in RAB additions</t>
  </si>
  <si>
    <t>Impact on RAB depreciation</t>
  </si>
  <si>
    <t>Moderate capex overspend in year 1</t>
  </si>
  <si>
    <t>High capex underspend in year 1</t>
  </si>
  <si>
    <t>Moderate capex underspend in year 1</t>
  </si>
  <si>
    <t>Disallowance against expenditure subject to capping</t>
  </si>
  <si>
    <t>Disallowance (% of total capped allowance)</t>
  </si>
  <si>
    <t>Revenue impact of disallowance</t>
  </si>
  <si>
    <t xml:space="preserve">Moderately high disallowance </t>
  </si>
  <si>
    <t>Total Maximum Regulated SSS/TUoS revenues</t>
  </si>
  <si>
    <t>Revenues relating to TSO "internal" costs</t>
  </si>
  <si>
    <t>Forecasts of "external" costs included in Maximum Regulated SSS/TUoS revenue</t>
  </si>
  <si>
    <t>Revenues outside maximum regulated revenues (SSS/TUoS)</t>
  </si>
  <si>
    <t>Maximum regulated revenue (Forecasts)</t>
  </si>
  <si>
    <t>Forecasts of other costs recoverable through SSS/TUoS revenue control</t>
  </si>
  <si>
    <t>Forecasts of TSO revenue streams outside SSS/TUoS revenue control</t>
  </si>
  <si>
    <t>Expenditure and revenue forecasts</t>
  </si>
  <si>
    <t xml:space="preserve">Forecast of TSO costs outside SSS/TUoS revenue control </t>
  </si>
  <si>
    <t>Forecasts of costs that qualify for a margin</t>
  </si>
  <si>
    <t>Base case (Notional TSO)</t>
  </si>
  <si>
    <t>Corporation tax for the notional TSO</t>
  </si>
  <si>
    <t>For the notional TSO (using regulatory depreciation)</t>
  </si>
  <si>
    <t>Profit after tax for RoRE (excluding margin and asymmetric risk allowance)</t>
  </si>
  <si>
    <t>Profit after tax for RoRE (excluding margin on revenue collection)</t>
  </si>
  <si>
    <t>Connections costs (including connections staff costs)</t>
  </si>
  <si>
    <t>RAB: Capex overspends for 2010-15</t>
  </si>
  <si>
    <t>Capex overspends for 2010-15</t>
  </si>
  <si>
    <t>Forecasts of additional ex ante allowances (in period)</t>
  </si>
  <si>
    <t>Approach A (UR/SONI 2015-20 comparator data)</t>
  </si>
  <si>
    <t>Gearing for comparators</t>
  </si>
  <si>
    <t>Equity beta at assumed regulatory gearing and assumed debt beta</t>
  </si>
  <si>
    <t>Debt beta assumption that is in line with the UR's position for SONI</t>
  </si>
  <si>
    <t>Asset beta for comparator if debt beta had been assumed to be as per UR's position</t>
  </si>
  <si>
    <t>Operating cash flow (OCF) measure for comparator companies</t>
  </si>
  <si>
    <t>Allowed return (£m)</t>
  </si>
  <si>
    <t>Total allowed revenue</t>
  </si>
  <si>
    <t>Allowed RCV depreciation</t>
  </si>
  <si>
    <t>Ratio of allowed return + depreciation to allowed revenue</t>
  </si>
  <si>
    <t>Parameters for the CMA Bristol adjustment to asset beta</t>
  </si>
  <si>
    <t>Operating cash flow measures (Numerator)</t>
  </si>
  <si>
    <t>OCF1 numerator: Return + Depreciation on all RAB + SONI forecast transfers to NIE</t>
  </si>
  <si>
    <t>Operating cash flow measures (Denominator)</t>
  </si>
  <si>
    <t>Ratio</t>
  </si>
  <si>
    <t>Operating cash flow measures for the notional TSO</t>
  </si>
  <si>
    <t>Adjustment factor</t>
  </si>
  <si>
    <t>Approach A</t>
  </si>
  <si>
    <t>Approach B</t>
  </si>
  <si>
    <t>OCF 1 (using SONI forecast NIE transfers)</t>
  </si>
  <si>
    <t>Implied asset beta for the notional TSO</t>
  </si>
  <si>
    <t>Asset beta calculations for the notional TSO using the CMA Bristol Water method</t>
  </si>
  <si>
    <t>Forecast of maximum regulated revenues (SSS/TUoS)</t>
  </si>
  <si>
    <t>Ofwat PR19 data for RoRE charts</t>
  </si>
  <si>
    <t>Source: Ofwat</t>
  </si>
  <si>
    <t xml:space="preserve"> </t>
  </si>
  <si>
    <t>Forecast of revenues</t>
  </si>
  <si>
    <t>Total forecast TSO revenue</t>
  </si>
  <si>
    <t>Forecast of costs</t>
  </si>
  <si>
    <t>Maximum regulated SSS/TUoS revenues</t>
  </si>
  <si>
    <t xml:space="preserve">   Connection income attributable to recovery of overheads/other costs funded through ex ante allowances</t>
  </si>
  <si>
    <t>Profit after tax for RoRE</t>
  </si>
  <si>
    <t>RAB Summary (Nominal terms): Estimates/Forecasts</t>
  </si>
  <si>
    <t>RAB additions estimated by SONI for the 2015-20 period</t>
  </si>
  <si>
    <t>RAB depreciation allowances and TNPP write-offs</t>
  </si>
  <si>
    <t>RoRE</t>
  </si>
  <si>
    <t>RoRE (excluding margin on revenue collection)</t>
  </si>
  <si>
    <t>Earnings and financial ratios for the Notional TSO</t>
  </si>
  <si>
    <t>Index of tabs</t>
  </si>
  <si>
    <t>Tab name</t>
  </si>
  <si>
    <t>Overview of contents</t>
  </si>
  <si>
    <t>Main inputs</t>
  </si>
  <si>
    <t>Category</t>
  </si>
  <si>
    <t>Inflation</t>
  </si>
  <si>
    <t>RAB inputs</t>
  </si>
  <si>
    <t>RoRE inputs</t>
  </si>
  <si>
    <t>Calcs</t>
  </si>
  <si>
    <t>WACC</t>
  </si>
  <si>
    <t>Return</t>
  </si>
  <si>
    <t>Results</t>
  </si>
  <si>
    <t>Regulated revenue</t>
  </si>
  <si>
    <t>Earnings</t>
  </si>
  <si>
    <t>RAB summary</t>
  </si>
  <si>
    <t>Scenarios</t>
  </si>
  <si>
    <t>This sheet contains input data for the calculation of the notional TSO's RAB. It draws on the post-CMA financial model for the 2015-20 period, the current TSO licence, SONI's Business Plan submission for the 2020-25 period and SONI's regulatory accounts.</t>
  </si>
  <si>
    <t>This sheet sets out the inflation indices used in the model</t>
  </si>
  <si>
    <t>This sheet sets out our forecasts for different elements of the notional TSO's revenues and costs</t>
  </si>
  <si>
    <t>This sheet contains the input parameters to estimate the notional TSO's WACC.</t>
  </si>
  <si>
    <t>This sheet contains the ex ante expenditure allowances, expenditure caps and revenue allowances determined by the UR and operational during the 2020-25 period</t>
  </si>
  <si>
    <t xml:space="preserve">This sheet contains data received from Ofwat on the impact of its PR19 price control package on returns to equity for water companies. These are used as comparators for the Notional TSO. </t>
  </si>
  <si>
    <t>RAB</t>
  </si>
  <si>
    <t>This sheet calculates forecasts of the different elements of the Notional TSO's RAB for the 2020-2025 period.</t>
  </si>
  <si>
    <t>This sheet calculates forecasts of the return on different elements of the Notional TSO's RAB for the 2020-2025 period.</t>
  </si>
  <si>
    <t>This sheet calculates an asset beta range for the Notional TSO using approaches based on the CMA Bristol Water method.  The ranges calculated in this sheet are not directly used to calculate the Notional TSO's WACC. Instead, they have been considered alongside evidence from other sources.</t>
  </si>
  <si>
    <t>This sheet sets out a summary of the build up of the maximum regulated revenue of the Notional TSO</t>
  </si>
  <si>
    <t>This shee calculates different measures of profit and debt financeability metrics for the Notional TSO</t>
  </si>
  <si>
    <t>This sheet contains the underlying the calculations for different upside and downside scenarios modelled in the RoRE sheet</t>
  </si>
  <si>
    <t>5B Revenues &amp; Costs (notional)</t>
  </si>
  <si>
    <t>This sheet is copied from SONI's BPDT submission</t>
  </si>
  <si>
    <t>5A Revenues &amp; Costs (Actual)</t>
  </si>
  <si>
    <t>SONI BPDT RAB</t>
  </si>
  <si>
    <t>This sheet contains the result of pre-processing carried out on RAB figures reported by SONI in its BPDT</t>
  </si>
  <si>
    <t>1 Price control buildup</t>
  </si>
  <si>
    <t>3 Finance</t>
  </si>
  <si>
    <t>4 RAB Overview</t>
  </si>
  <si>
    <t>Other items that might arise during the period</t>
  </si>
  <si>
    <t>Total forecast expenditure against capped opex allowances</t>
  </si>
  <si>
    <t>Expenditure against capped TNPP allowances</t>
  </si>
  <si>
    <t>Total forecast expenditure against capped allowances</t>
  </si>
  <si>
    <t>Expenditure against capped Special Projects allowances</t>
  </si>
  <si>
    <t>Forecast pension deficit repair costs</t>
  </si>
  <si>
    <t>Allowance for pension deficit repair</t>
  </si>
  <si>
    <t>Forecast expenditure on pension deficit repair</t>
  </si>
  <si>
    <t>Total ex ante opex allowances</t>
  </si>
  <si>
    <t>Additional ex ante opex allowances approved during the period</t>
  </si>
  <si>
    <t>Other opex allowances</t>
  </si>
  <si>
    <t>Adjustments to opex allowances for overheads funded through connection income</t>
  </si>
  <si>
    <t>Recovery of expenditure against capped allowances</t>
  </si>
  <si>
    <t>Forecasts of other costs</t>
  </si>
  <si>
    <t>OCF 2 (No NIE transfers)</t>
  </si>
  <si>
    <t>OCF2 numerator: Return + Depreciation on all RAB + No transfers to NIE</t>
  </si>
  <si>
    <t>Moderate opex overspend (as a percentage of opex allowance)</t>
  </si>
  <si>
    <t>Moderate opex underspend (as a percentage of opex allowance)</t>
  </si>
  <si>
    <t>High debt costs</t>
  </si>
  <si>
    <t>Low debt costs</t>
  </si>
  <si>
    <t>Moderately high debt costs</t>
  </si>
  <si>
    <t>Moderately low debt costs</t>
  </si>
  <si>
    <t>Moderately high TNPP disallowance in year 1 (with revenue impact in year 3)</t>
  </si>
  <si>
    <t>Capex (non-building assets) scenarios</t>
  </si>
  <si>
    <t>Imperfection Charge (DBC) revenues</t>
  </si>
  <si>
    <t>Actual write-offs/Impairments (2015-20)</t>
  </si>
  <si>
    <t>Actual reported and SONI forecast transfers to NIE (2015-20)</t>
  </si>
  <si>
    <t>Revenue in relation to Interco GTUoS</t>
  </si>
  <si>
    <t>Ex ante fixed annual allowance for asymmetric risk</t>
  </si>
  <si>
    <t>RAB: Capex overspend for 2010-15</t>
  </si>
  <si>
    <t>Allowed Bt depreciation in the 2015-20 licence</t>
  </si>
  <si>
    <t>Charts</t>
  </si>
  <si>
    <t>RoRE charts</t>
  </si>
  <si>
    <t>This sheet presents a set of charts on the impact on RoRE of different scenarios relating to value of input data items.</t>
  </si>
  <si>
    <t>RAB calculations</t>
  </si>
  <si>
    <t>RAB returns</t>
  </si>
  <si>
    <t>This model is provided by Reckon LLP "as is" and any express or implied warranties, including, but not limited to, the implied warranties of merchantability and fitness for a particular purpose are disclaimed. In no event shall Reckon LLP or its staff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model, even if advised of the possibility of such damage.</t>
  </si>
  <si>
    <t>Base case (excluding asymmetric allowance)</t>
  </si>
  <si>
    <t>This sheet presents a set of charts on the evolution of the estimated/forecast RAB under different assumptions for notional gearing.</t>
  </si>
  <si>
    <t>This sheet presents a summary of the estimated/forecast TSO RABs</t>
  </si>
  <si>
    <t>This sheet calculates the RoRE of the Notional TSO in the base case and under different scenarios for upside and downside outcomes during the 2020-2025 period.</t>
  </si>
  <si>
    <t>Note</t>
  </si>
  <si>
    <t>Water company comparators (PR19 Final Determinations)</t>
  </si>
  <si>
    <t>OCF1 numerator + operating expenditure</t>
  </si>
  <si>
    <t>OCF2 numerator + operating expenditure</t>
  </si>
  <si>
    <t>Sheet</t>
  </si>
  <si>
    <t>Change</t>
  </si>
  <si>
    <t>Cell ranges affected</t>
  </si>
  <si>
    <t>FD</t>
  </si>
  <si>
    <t>UR FD</t>
  </si>
  <si>
    <t>Approach C</t>
  </si>
  <si>
    <t>Allowances in Final Determinations</t>
  </si>
  <si>
    <t>SONI Engagement Vehicle</t>
  </si>
  <si>
    <t>Website Update &amp; Engagement Platform</t>
  </si>
  <si>
    <t>Green Energy App</t>
  </si>
  <si>
    <t>Forecasts used in Final Determinations</t>
  </si>
  <si>
    <t>UR - TSO Price control 2020-25 - Financial model (Final Determinations)</t>
  </si>
  <si>
    <t>This model was produced by Reckon LLP for the Utility Regulator for the purposes of producing estimates and forecasts to be used by the Utility Regulator in its final determinations of the 2020-25 TSO price control. Reckon LLP makes no representation about the suitability of this model for any purposes beyond the purpose stated above.</t>
  </si>
  <si>
    <t>Regulatory depreciation</t>
  </si>
  <si>
    <t>Opex</t>
  </si>
  <si>
    <t>"Controllable revenues"</t>
  </si>
  <si>
    <t>EBIT/"Controllable revenues"</t>
  </si>
  <si>
    <t>Debt financeability metrics for the Core TSO role (excluding asymmetric risk allowance)</t>
  </si>
  <si>
    <t>Debt financeability metrics for the Core TSO role (including asymmetric risk allowance)</t>
  </si>
  <si>
    <t>Debt financeability metrics for the notional TSO role (including asymmetric risk allowance and margin on revenue collection)</t>
  </si>
  <si>
    <t>Profitability metrics for the notional TSO role (including asymmetric risk allowance and margin on revenue collection)</t>
  </si>
  <si>
    <t>Asset beta for the comparators</t>
  </si>
  <si>
    <t>Bank of England (Monetary Policy Report, Nov 2020)</t>
  </si>
  <si>
    <t>Assumed annual growth rate in CPIH (from 2020/21 onwards)</t>
  </si>
  <si>
    <t>Actual gearing for comparator companies</t>
  </si>
  <si>
    <t>Reported raw equity beta</t>
  </si>
  <si>
    <t xml:space="preserve">Assumed debt beta </t>
  </si>
  <si>
    <t>Gearing for comparators (CMA PD footnote 1506 page 585)</t>
  </si>
  <si>
    <t>Approach B (Ofwat PR19, Table 10 of the allowed return on capital appendix)</t>
  </si>
  <si>
    <t>Anglian Water</t>
  </si>
  <si>
    <t>Yorkshire Water</t>
  </si>
  <si>
    <t>Northumbrian Water</t>
  </si>
  <si>
    <t>Bristol Water</t>
  </si>
  <si>
    <t>CMA Provisional determination on PR19 (indicative estimates)</t>
  </si>
  <si>
    <t>Unlevered beta (CMA point estimate (Table 9-26) page 674)</t>
  </si>
  <si>
    <t>Debt beta (CMA point estimate (Table 9-26) page 674)</t>
  </si>
  <si>
    <t>Operating cash flow (OCF) measure for listed comparator companies</t>
  </si>
  <si>
    <t>Approach C and D (using CMA PD for PR19)</t>
  </si>
  <si>
    <t>Operating cash flow (OCF) measure for appellants</t>
  </si>
  <si>
    <t>Approach D</t>
  </si>
  <si>
    <t>Table B-4 of Appendix B of SONI's business plan submission (2019/20 figures updated in Nov2020)</t>
  </si>
  <si>
    <t>Costs (exc retail) (overspend of 5.7% of totex)</t>
  </si>
  <si>
    <t>Costs (exc retail) - (underspend of 7.4% of totex)</t>
  </si>
  <si>
    <t>SONI asset beta from the 2017 CMA decision</t>
  </si>
  <si>
    <t>SONI asset beta for the 2015-20 price control (post-CMA)</t>
  </si>
  <si>
    <t>Comparator asset beta used for CMA 2017 (average of high and low)</t>
  </si>
  <si>
    <t>Profitability metrics using EBIT measure</t>
  </si>
  <si>
    <t>Earnings before interest, tax and amortisation (EBITA)</t>
  </si>
  <si>
    <t>Network planning staff</t>
  </si>
  <si>
    <t>Network projects scoping and feasibility (excluding network planning staff)</t>
  </si>
  <si>
    <t>Figures shaded in grey are provided for information only, and are not used.</t>
  </si>
  <si>
    <t>Expenditure allowances subject to cost-sharing</t>
  </si>
  <si>
    <t xml:space="preserve">Percentage of over/underspends recovered through tariffs under cost-sharing </t>
  </si>
  <si>
    <t>Payroll</t>
  </si>
  <si>
    <t>Ex ante opex allowances for new initiatives (subject to mechanistic cost sharing)</t>
  </si>
  <si>
    <t>Ex ante opex allowances (subject to conditional cost sharing)</t>
  </si>
  <si>
    <t>Ex ante allowances for RAB additions: Non-building RAB (subject to conditional cost sharing)</t>
  </si>
  <si>
    <t>Ex ante allowances for RAB additions: Non-building RAB (subject to mechanistic cost sharing)</t>
  </si>
  <si>
    <t>Ex ante allowances for RAB additions: Building RAB (subject to conditional cost sharing)</t>
  </si>
  <si>
    <t>Additional ex ante opex allowances approved during the price control period (subject to conditional cost sharing)</t>
  </si>
  <si>
    <t>Additional ex ante opex allowances approved during the price control period (subject to mechanistic cost sharing)</t>
  </si>
  <si>
    <t>Additional ex ante non-building RAB additions approved during the price control period (subject to mechanistic cost sharing)</t>
  </si>
  <si>
    <t>Additional ex ante non-building RAB additions approved during the price control period (subject to conditional cost sharing)</t>
  </si>
  <si>
    <t>Additional ex ante building RAB additions approved during the price control period (subject to conditional cost sharing)</t>
  </si>
  <si>
    <t>Additional ex ante building RAB additions approved during the price control period (subject to mechanistic cost sharing)</t>
  </si>
  <si>
    <t>Ex ante allowances for RAB additions: Building RAB (subject to mechanistic cost sharing)</t>
  </si>
  <si>
    <t>Forecast expenditure subject to mechanistic cost-sharing</t>
  </si>
  <si>
    <t>Reported expenditure on opex</t>
  </si>
  <si>
    <t>Reported expenditure on non-building RAB assets</t>
  </si>
  <si>
    <t>Reported expenditure on building RAB assets</t>
  </si>
  <si>
    <t>Ex ante opex allowances subject to conditional cost sharing</t>
  </si>
  <si>
    <t>Ex ante opex allowances subject to mechanistic cost sharing</t>
  </si>
  <si>
    <t>Forecast opex</t>
  </si>
  <si>
    <t>Expenditure against capped opex allowances</t>
  </si>
  <si>
    <t>DD (for information)</t>
  </si>
  <si>
    <t>Totex scenarios</t>
  </si>
  <si>
    <t>High Totex overspend</t>
  </si>
  <si>
    <t>Moderate Totex overspend</t>
  </si>
  <si>
    <t>High Totex underspend</t>
  </si>
  <si>
    <t>High totex overspend</t>
  </si>
  <si>
    <t>Moderate totex overspend</t>
  </si>
  <si>
    <t>High totex underspend</t>
  </si>
  <si>
    <t>Moderate totex underspend</t>
  </si>
  <si>
    <t>RoRE (excluding asymmetric risk allowances and collection agent margins)</t>
  </si>
  <si>
    <t>Maximum reward (£1.25m)</t>
  </si>
  <si>
    <t>Earnings before interest and taxation (EBIT)</t>
  </si>
  <si>
    <t>Profit (loss) for the notional TSO (excludes connections surplus)</t>
  </si>
  <si>
    <t>OBR (Economic and Fiscal Outlook, November 2020) Q4 YoY</t>
  </si>
  <si>
    <t>Actual depreciation submitted by SONI for tariff setting (BIt) (Response to query 054)</t>
  </si>
  <si>
    <t>RPI conversion factor to nominal (historical) (April 2014 RPI)</t>
  </si>
  <si>
    <t>RPI conversion factor to nominal (forecast)  (April 2014 RPI)</t>
  </si>
  <si>
    <t>Transition of RAB indexation from 2014 RPI to 2019 CPIH</t>
  </si>
  <si>
    <t>Real Price Effects (RPEs) on opex allowances</t>
  </si>
  <si>
    <t>Forecast expenditure subject to pre-approved  caps</t>
  </si>
  <si>
    <t>2020-25 forecast RAB additions (after cost sharing)</t>
  </si>
  <si>
    <t>(2019/20 figures updated by SONI after draft determinations)</t>
  </si>
  <si>
    <t>Profitability metrics for the Core TSO role (excluding asymmetric risk allowance and margin on revenue collection)</t>
  </si>
  <si>
    <t>Profitability metrics for the Core TSO role (including asymmetric risk allowance but excluding margin on revenue collection)</t>
  </si>
  <si>
    <t>Financial incentive scenarios (covering performance evaluation and cost sharing incentives)</t>
  </si>
  <si>
    <t>Maximum penalty (£0.75m)</t>
  </si>
  <si>
    <t xml:space="preserve">Extremely high disallowance </t>
  </si>
  <si>
    <t>Extremely high TNPP disallowance in year 1 (with revenue impact in year 3)</t>
  </si>
  <si>
    <t>RoRE chart</t>
  </si>
  <si>
    <t>Notional debt at 40% gearing (from 2020/21)</t>
  </si>
  <si>
    <t>Notional equity at 40% gearing (from 2020/21)</t>
  </si>
  <si>
    <t>RAB and regulatory equity charts</t>
  </si>
  <si>
    <t>TSO regulatory equity</t>
  </si>
  <si>
    <t>UR - TSO Price control 2020-25 (Final Determinations)</t>
  </si>
  <si>
    <t>FD allowances</t>
  </si>
  <si>
    <t>FD forecasts</t>
  </si>
  <si>
    <t xml:space="preserve">This sheet calculates the WACC for the Notional TSO based on the parameters set out in the "WACC parameters" sheet.  </t>
  </si>
  <si>
    <t>CPIH figures have been rounded to one decimal point</t>
  </si>
  <si>
    <t>C3:I3</t>
  </si>
  <si>
    <t>H102, H106</t>
  </si>
  <si>
    <t>D96:I96</t>
  </si>
  <si>
    <t>Actual capital expenditure figures for 2019/20 updated to reflection information provided by SONI</t>
  </si>
  <si>
    <t>Actual depreciation figures updated to reflect information provided by SONI</t>
  </si>
  <si>
    <t>WACC parameters updated to reflect final determinations</t>
  </si>
  <si>
    <t>B4:B10</t>
  </si>
  <si>
    <t>Allowances updated to reflect final determinations</t>
  </si>
  <si>
    <t>Ex ante allowances split into costs subject to conditional cost sharing and costs subject to mechanistic cost sharing</t>
  </si>
  <si>
    <t>Figures for PCG remuneration added to reflect final determinations decision</t>
  </si>
  <si>
    <t>D69:I69</t>
  </si>
  <si>
    <t>Forecasts for additional ex ante allowances in period split between conditional cost sharing and mechanistic cost sharing</t>
  </si>
  <si>
    <t>Profit after tax for the notional TSO (excludes connections surplus)</t>
  </si>
  <si>
    <t>Profit after tax (excluding margin on revenue collection)  (excludes connections surplus)</t>
  </si>
  <si>
    <t>Profit after tax (excluding margin and asymmetric risk allowance)  (excludes connections surplus)</t>
  </si>
  <si>
    <t>Forecasts for actual expenditure in period split between conditional cost sharing and mechanistic cost sharing</t>
  </si>
  <si>
    <t>Revenue qualifying for the revenue collection margin has amended to include TUoS</t>
  </si>
  <si>
    <t>D59:I59</t>
  </si>
  <si>
    <t>Connection income attributable to recovery of overheads/other costs funded through ex ante allowances updated</t>
  </si>
  <si>
    <t>D50:I50</t>
  </si>
  <si>
    <t>CCS</t>
  </si>
  <si>
    <t>Sheet removed as the cost sharing calculations are no longer implemented in this model</t>
  </si>
  <si>
    <t>J9</t>
  </si>
  <si>
    <t>CPIH conversion factor formula updated to correct an error. This only affected one year (2019/20)</t>
  </si>
  <si>
    <t>Formula for RAB additions changed to reflect changes to the structure of input data sheets</t>
  </si>
  <si>
    <t>S67:W67 and S120:W120</t>
  </si>
  <si>
    <t>Structure of regulated revenue table changed to reflect split between conditional cost sharing and mechanistic cost sharing</t>
  </si>
  <si>
    <t>Profit for the notional TSO amended to exclude SONI's forecast of surplus from connections activities</t>
  </si>
  <si>
    <t>D64:I68, D72:I74</t>
  </si>
  <si>
    <t>Calculations for SONI's measure of "controllable revenues" added</t>
  </si>
  <si>
    <t>D79:I85</t>
  </si>
  <si>
    <t>Profitability metrics updated to include SONI's measure of profit margin on "controllable revenues"</t>
  </si>
  <si>
    <t>Rows 108, 113 and 118</t>
  </si>
  <si>
    <t>RoRE upside and downside analysis extended to include impacts of totex under/overspends</t>
  </si>
  <si>
    <t>E25:J28</t>
  </si>
  <si>
    <t>Data for charts updated to reflect final determinations assumption of 40% notional gearing</t>
  </si>
  <si>
    <t>Rows 16 and 23</t>
  </si>
  <si>
    <t>Additional row for PCG remuneration added</t>
  </si>
  <si>
    <t>Row 24</t>
  </si>
  <si>
    <t>Additional scenarios aded for totex under/overspends</t>
  </si>
  <si>
    <t>Rows 35 to 61</t>
  </si>
  <si>
    <t>CPI Inflation forecasts (for information only)</t>
  </si>
  <si>
    <t>HM Treasury (Forecasts for the UK economy, November 2020)</t>
  </si>
  <si>
    <t>Calculations for EBIT margin on SONI's "controllable revenues" concept</t>
  </si>
  <si>
    <t>EBIT margin on total revenues (excluding DBC revenues)</t>
  </si>
  <si>
    <t>EBIT margin on total revenues (including DBC revenues)</t>
  </si>
  <si>
    <t>EBIT margin on "Controllable Revenues" (SONI metric)</t>
  </si>
  <si>
    <t>TSO cost sharing incentive rate (1- pass-through percentage)</t>
  </si>
  <si>
    <t>Sum of Ofwat upside impacts</t>
  </si>
  <si>
    <t>Sum of Ofwat downside impacts</t>
  </si>
  <si>
    <t>Ofwat downside impacts on cost and performance incentives</t>
  </si>
  <si>
    <t>Ofwat upside impacts on cost and performance incentives</t>
  </si>
  <si>
    <t>Ofwat downside for financing costs</t>
  </si>
  <si>
    <t>Ofwat upside for financing costs</t>
  </si>
  <si>
    <t>Definition and scope provided by SONI on 19/03/2020</t>
  </si>
  <si>
    <t>C9:G9, C10:E10, C11:F11</t>
  </si>
  <si>
    <t>Input data for the application of the CMA asset beta adjustment moved to this sheet and updated</t>
  </si>
  <si>
    <t>Labelling of aggregates updated to add clarity</t>
  </si>
  <si>
    <t>Input data for the application of the CMA asset beta adjustment moved to 'Other inputs' tab</t>
  </si>
  <si>
    <t>B14</t>
  </si>
  <si>
    <t>Equity Risk Premium (ERP) moved into the calculations list</t>
  </si>
  <si>
    <t>Calculations based on estimates of SONI's accounting depreciation have been removed</t>
  </si>
  <si>
    <t>Accounting Depreciation</t>
  </si>
  <si>
    <t>This sheet has been removed</t>
  </si>
  <si>
    <t>This sheet contains input data relating to the application of the CMA Bristol Water method for adjusting asset beta</t>
  </si>
  <si>
    <t>Forecast revenues and costs relating to transfers to NIE have been removed</t>
  </si>
  <si>
    <t>Additional calculations included for purposes of FD</t>
  </si>
  <si>
    <t xml:space="preserve">Presentation of results from sensitivity analysis removed from the model </t>
  </si>
  <si>
    <t>This sheet records significant changes to the model compared to the reference version v1.1 published on 24/07/2020</t>
  </si>
  <si>
    <t xml:space="preserve">Inflation forecasts from third parties have been updated to reflect more recent publications.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</si>
</sst>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0.0%"/>
    <numFmt numFmtId="165" formatCode="_-* #,##0_-;\-* #,##0_-;_-* &quot;-&quot;??_-;_-@_-"/>
    <numFmt numFmtId="166" formatCode="0.000"/>
    <numFmt numFmtId="167" formatCode="0.0"/>
    <numFmt numFmtId="168" formatCode="0_ ;[Red]\-0\ "/>
    <numFmt numFmtId="169" formatCode="#,##0_ ;[Red]\-#,##0\ "/>
    <numFmt numFmtId="170" formatCode="0.000_ ;[Red]\-0.000\ "/>
    <numFmt numFmtId="171" formatCode="&quot;£&quot;#,##0"/>
    <numFmt numFmtId="172" formatCode="&quot;£&quot;#,##0.00"/>
    <numFmt numFmtId="173" formatCode="#,##0_ ;\-#,##0\ "/>
    <numFmt numFmtId="174" formatCode="0.00%;[Red]\-0.00%"/>
    <numFmt numFmtId="175" formatCode="0.0000"/>
    <numFmt numFmtId="176" formatCode="&quot;to &quot;0.0000;&quot;to &quot;\-0.0000;&quot;to 0&quot;"/>
    <numFmt numFmtId="177" formatCode="#,##0;\-#,##0;\-"/>
    <numFmt numFmtId="178" formatCode="[&lt;0.0001]&quot;&lt;0.0001&quot;;0.0000"/>
    <numFmt numFmtId="179" formatCode="#,##0.0,,;\-#,##0.0,,;\-"/>
    <numFmt numFmtId="180" formatCode="#,##0,;\-#,##0,;\-"/>
    <numFmt numFmtId="181" formatCode="0.0%;\-0.0%;\-"/>
    <numFmt numFmtId="182" formatCode="#,##0.0,,;\-#,##0.0,,"/>
    <numFmt numFmtId="183" formatCode="#,##0,;\-#,##0,"/>
    <numFmt numFmtId="184" formatCode="0.0%;\-0.0%"/>
    <numFmt numFmtId="185" formatCode="#,##0.0_-;\(#,##0.0\);_-* &quot;-&quot;??_-"/>
    <numFmt numFmtId="186" formatCode="_-[$€-2]* #,##0.00_-;\-[$€-2]* #,##0.00_-;_-[$€-2]* &quot;-&quot;??_-"/>
    <numFmt numFmtId="187" formatCode="#,##0.000000_ ;\-#,##0.000000\ "/>
    <numFmt numFmtId="188" formatCode="#,##0.000_ ;[Red]\-#,##0.000\ "/>
    <numFmt numFmtId="189" formatCode="#,##0.000000_ ;[Red]\-#,##0.000000\ "/>
    <numFmt numFmtId="190" formatCode="0.0000000%"/>
    <numFmt numFmtId="191" formatCode="#,##0.00_ ;[Red]\-#,##0.00\ "/>
  </numFmts>
  <fonts count="79">
    <font>
      <sz val="11"/>
      <color theme="1"/>
      <name val="Calibri"/>
      <family val="2"/>
      <scheme val="minor"/>
    </font>
    <font>
      <sz val="11"/>
      <color theme="1"/>
      <name val="Calibri"/>
      <family val="2"/>
      <scheme val="minor"/>
    </font>
    <font>
      <b/>
      <sz val="11"/>
      <color theme="1"/>
      <name val="Calibri"/>
      <family val="2"/>
      <scheme val="minor"/>
    </font>
    <font>
      <sz val="12"/>
      <name val="Arial MT"/>
    </font>
    <font>
      <sz val="10"/>
      <name val="Arial"/>
      <family val="2"/>
    </font>
    <font>
      <b/>
      <sz val="10"/>
      <name val="Arial"/>
      <family val="2"/>
    </font>
    <font>
      <b/>
      <sz val="18"/>
      <color theme="1"/>
      <name val="Calibri"/>
      <family val="2"/>
      <scheme val="minor"/>
    </font>
    <font>
      <sz val="11"/>
      <name val="Calibri"/>
      <family val="2"/>
      <scheme val="minor"/>
    </font>
    <font>
      <b/>
      <sz val="14"/>
      <color theme="1"/>
      <name val="Calibri"/>
      <family val="2"/>
      <scheme val="minor"/>
    </font>
    <font>
      <b/>
      <sz val="16"/>
      <color theme="1"/>
      <name val="Calibri"/>
      <family val="2"/>
      <scheme val="minor"/>
    </font>
    <font>
      <b/>
      <u/>
      <sz val="11"/>
      <color theme="1"/>
      <name val="Calibri"/>
      <family val="2"/>
      <scheme val="minor"/>
    </font>
    <font>
      <b/>
      <i/>
      <sz val="11"/>
      <color theme="1"/>
      <name val="Calibri"/>
      <family val="2"/>
      <scheme val="minor"/>
    </font>
    <font>
      <sz val="11"/>
      <color rgb="FF000000"/>
      <name val="Calibri"/>
      <family val="2"/>
      <scheme val="minor"/>
    </font>
    <font>
      <sz val="8"/>
      <name val="Calibri"/>
      <family val="2"/>
      <scheme val="minor"/>
    </font>
    <font>
      <sz val="8"/>
      <color theme="1"/>
      <name val="Calibri"/>
      <family val="2"/>
      <scheme val="minor"/>
    </font>
    <font>
      <i/>
      <sz val="11"/>
      <color theme="1"/>
      <name val="Calibri"/>
      <family val="2"/>
      <scheme val="minor"/>
    </font>
    <font>
      <sz val="11"/>
      <color indexed="8"/>
      <name val="Calibri"/>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sz val="12"/>
      <color theme="1"/>
      <name val="Arial"/>
      <family val="2"/>
    </font>
    <font>
      <sz val="12"/>
      <name val="Arial"/>
      <family val="2"/>
    </font>
    <font>
      <b/>
      <sz val="11"/>
      <color theme="0"/>
      <name val="Calibri"/>
      <family val="2"/>
      <scheme val="minor"/>
    </font>
    <font>
      <b/>
      <sz val="12"/>
      <color theme="1"/>
      <name val="Calibri"/>
      <family val="2"/>
      <scheme val="minor"/>
    </font>
    <font>
      <u/>
      <sz val="11"/>
      <color theme="10"/>
      <name val="Calibri"/>
      <family val="2"/>
      <scheme val="minor"/>
    </font>
    <font>
      <sz val="11"/>
      <color theme="0"/>
      <name val="Calibri"/>
      <family val="2"/>
      <scheme val="minor"/>
    </font>
    <font>
      <u/>
      <sz val="11"/>
      <color theme="1"/>
      <name val="Calibri"/>
      <family val="2"/>
      <scheme val="minor"/>
    </font>
  </fonts>
  <fills count="7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indexed="9"/>
        <bgColor indexed="64"/>
      </patternFill>
    </fill>
    <fill>
      <patternFill patternType="solid">
        <fgColor rgb="FFFF99CC"/>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1" tint="0.499984740745262"/>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99CCFF"/>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7"/>
        <bgColor indexed="64"/>
      </patternFill>
    </fill>
    <fill>
      <patternFill patternType="solid">
        <fgColor indexed="26"/>
      </patternFill>
    </fill>
    <fill>
      <patternFill patternType="solid">
        <fgColor indexed="47"/>
        <bgColor indexed="64"/>
      </patternFill>
    </fill>
    <fill>
      <patternFill patternType="solid">
        <fgColor indexed="55"/>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7030A0"/>
        <bgColor indexed="64"/>
      </patternFill>
    </fill>
    <fill>
      <patternFill patternType="solid">
        <fgColor rgb="FFBCA8D0"/>
        <bgColor indexed="64"/>
      </patternFill>
    </fill>
    <fill>
      <patternFill patternType="solid">
        <fgColor theme="5" tint="0.79998168889431442"/>
        <bgColor indexed="64"/>
      </patternFill>
    </fill>
    <fill>
      <patternFill patternType="solid">
        <fgColor theme="9" tint="0.39997558519241921"/>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s>
  <cellStyleXfs count="327">
    <xf numFmtId="0" fontId="0" fillId="0" borderId="0"/>
    <xf numFmtId="9" fontId="1" fillId="0" borderId="0" applyFont="0" applyFill="0" applyBorder="0" applyAlignment="0" applyProtection="0"/>
    <xf numFmtId="0" fontId="3" fillId="0" borderId="0"/>
    <xf numFmtId="0" fontId="1" fillId="0" borderId="0"/>
    <xf numFmtId="9" fontId="3" fillId="0" borderId="0" applyFont="0" applyFill="0" applyBorder="0" applyAlignment="0" applyProtection="0"/>
    <xf numFmtId="0" fontId="1" fillId="0" borderId="0"/>
    <xf numFmtId="0" fontId="1" fillId="0" borderId="0"/>
    <xf numFmtId="43"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 fillId="0" borderId="0"/>
    <xf numFmtId="0" fontId="4" fillId="0" borderId="0"/>
    <xf numFmtId="0" fontId="4" fillId="0" borderId="0"/>
    <xf numFmtId="0" fontId="4" fillId="0" borderId="0"/>
    <xf numFmtId="0" fontId="17" fillId="0" borderId="45" applyNumberFormat="0" applyFill="0" applyProtection="0">
      <alignment horizontal="center"/>
    </xf>
    <xf numFmtId="167" fontId="4" fillId="0" borderId="0" applyFont="0" applyFill="0" applyBorder="0" applyProtection="0">
      <alignment horizontal="right"/>
    </xf>
    <xf numFmtId="167" fontId="4" fillId="0" borderId="0" applyFont="0" applyFill="0" applyBorder="0" applyProtection="0">
      <alignment horizontal="right"/>
    </xf>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166" fontId="4" fillId="0" borderId="0" applyFont="0" applyFill="0" applyBorder="0" applyProtection="0">
      <alignment horizontal="right"/>
    </xf>
    <xf numFmtId="166" fontId="4" fillId="0" borderId="0" applyFont="0" applyFill="0" applyBorder="0" applyProtection="0">
      <alignment horizontal="right"/>
    </xf>
    <xf numFmtId="0" fontId="16" fillId="26" borderId="0" applyNumberFormat="0" applyBorder="0" applyAlignment="0" applyProtection="0"/>
    <xf numFmtId="0" fontId="16" fillId="27" borderId="0" applyNumberFormat="0" applyBorder="0" applyAlignment="0" applyProtection="0"/>
    <xf numFmtId="0" fontId="16" fillId="28"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9" borderId="0" applyNumberFormat="0" applyBorder="0" applyAlignment="0" applyProtection="0"/>
    <xf numFmtId="175" fontId="4" fillId="0" borderId="0" applyFont="0" applyFill="0" applyBorder="0" applyProtection="0">
      <alignment horizontal="right"/>
    </xf>
    <xf numFmtId="175" fontId="4" fillId="0" borderId="0" applyFont="0" applyFill="0" applyBorder="0" applyProtection="0">
      <alignment horizontal="right"/>
    </xf>
    <xf numFmtId="0" fontId="35" fillId="30"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31"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1" borderId="0" applyNumberFormat="0" applyBorder="0" applyAlignment="0" applyProtection="0"/>
    <xf numFmtId="0" fontId="35" fillId="33" borderId="0" applyNumberFormat="0" applyBorder="0" applyAlignment="0" applyProtection="0"/>
    <xf numFmtId="0" fontId="35" fillId="38" borderId="0" applyNumberFormat="0" applyBorder="0" applyAlignment="0" applyProtection="0"/>
    <xf numFmtId="0" fontId="36" fillId="21" borderId="0" applyNumberFormat="0" applyBorder="0" applyAlignment="0" applyProtection="0"/>
    <xf numFmtId="185" fontId="4" fillId="0" borderId="0" applyBorder="0"/>
    <xf numFmtId="0" fontId="37" fillId="39" borderId="46" applyNumberFormat="0" applyAlignment="0" applyProtection="0"/>
    <xf numFmtId="0" fontId="38" fillId="40" borderId="47" applyNumberFormat="0" applyAlignment="0" applyProtection="0"/>
    <xf numFmtId="175" fontId="18" fillId="0" borderId="0" applyFont="0" applyFill="0" applyBorder="0" applyProtection="0">
      <alignment horizontal="right"/>
    </xf>
    <xf numFmtId="176" fontId="18"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1" fillId="0" borderId="17" applyNumberFormat="0" applyBorder="0" applyAlignment="0" applyProtection="0">
      <alignment horizontal="right" vertical="center"/>
    </xf>
    <xf numFmtId="186" fontId="4" fillId="0" borderId="0" applyFont="0" applyFill="0" applyBorder="0" applyAlignment="0" applyProtection="0"/>
    <xf numFmtId="0" fontId="39" fillId="0" borderId="0" applyNumberFormat="0" applyFill="0" applyBorder="0" applyAlignment="0" applyProtection="0"/>
    <xf numFmtId="0" fontId="52" fillId="0" borderId="0">
      <alignment horizontal="right"/>
      <protection locked="0"/>
    </xf>
    <xf numFmtId="0" fontId="19" fillId="0" borderId="0">
      <alignment horizontal="left"/>
    </xf>
    <xf numFmtId="0" fontId="20" fillId="0" borderId="0">
      <alignment horizontal="left"/>
    </xf>
    <xf numFmtId="0" fontId="4" fillId="0" borderId="0" applyFont="0" applyFill="0" applyBorder="0" applyProtection="0">
      <alignment horizontal="right"/>
    </xf>
    <xf numFmtId="0" fontId="4" fillId="0" borderId="0" applyFont="0" applyFill="0" applyBorder="0" applyProtection="0">
      <alignment horizontal="right"/>
    </xf>
    <xf numFmtId="0" fontId="40" fillId="22" borderId="0" applyNumberFormat="0" applyBorder="0" applyAlignment="0" applyProtection="0"/>
    <xf numFmtId="38" fontId="34" fillId="9" borderId="0" applyNumberFormat="0" applyBorder="0" applyAlignment="0" applyProtection="0"/>
    <xf numFmtId="0" fontId="21" fillId="41" borderId="48" applyProtection="0">
      <alignment horizontal="right"/>
    </xf>
    <xf numFmtId="0" fontId="22" fillId="41" borderId="0" applyProtection="0">
      <alignment horizontal="left"/>
    </xf>
    <xf numFmtId="0" fontId="41" fillId="0" borderId="49" applyNumberFormat="0" applyFill="0" applyAlignment="0" applyProtection="0"/>
    <xf numFmtId="0" fontId="53" fillId="0" borderId="0">
      <alignment vertical="top" wrapText="1"/>
    </xf>
    <xf numFmtId="0" fontId="53" fillId="0" borderId="0">
      <alignment vertical="top" wrapText="1"/>
    </xf>
    <xf numFmtId="0" fontId="53" fillId="0" borderId="0">
      <alignment vertical="top" wrapText="1"/>
    </xf>
    <xf numFmtId="0" fontId="53" fillId="0" borderId="0">
      <alignment vertical="top" wrapText="1"/>
    </xf>
    <xf numFmtId="0" fontId="42" fillId="0" borderId="50" applyNumberFormat="0" applyFill="0" applyAlignment="0" applyProtection="0"/>
    <xf numFmtId="177" fontId="54" fillId="0" borderId="0" applyNumberFormat="0" applyFill="0" applyAlignment="0" applyProtection="0"/>
    <xf numFmtId="0" fontId="43" fillId="0" borderId="51" applyNumberFormat="0" applyFill="0" applyAlignment="0" applyProtection="0"/>
    <xf numFmtId="177" fontId="55" fillId="0" borderId="0" applyNumberFormat="0" applyFill="0" applyAlignment="0" applyProtection="0"/>
    <xf numFmtId="0" fontId="43" fillId="0" borderId="0" applyNumberFormat="0" applyFill="0" applyBorder="0" applyAlignment="0" applyProtection="0"/>
    <xf numFmtId="177" fontId="5" fillId="0" borderId="0" applyNumberFormat="0" applyFill="0" applyAlignment="0" applyProtection="0"/>
    <xf numFmtId="177" fontId="23" fillId="0" borderId="0" applyNumberFormat="0" applyFill="0" applyAlignment="0" applyProtection="0"/>
    <xf numFmtId="177" fontId="24" fillId="0" borderId="0" applyNumberFormat="0" applyFill="0" applyAlignment="0" applyProtection="0"/>
    <xf numFmtId="177" fontId="24" fillId="0" borderId="0" applyNumberFormat="0" applyFont="0" applyFill="0" applyBorder="0" applyAlignment="0" applyProtection="0"/>
    <xf numFmtId="177" fontId="24" fillId="0" borderId="0" applyNumberFormat="0" applyFont="0" applyFill="0" applyBorder="0" applyAlignment="0" applyProtection="0"/>
    <xf numFmtId="0" fontId="56" fillId="0" borderId="0" applyNumberFormat="0" applyFill="0" applyBorder="0" applyAlignment="0" applyProtection="0">
      <alignment vertical="top"/>
      <protection locked="0"/>
    </xf>
    <xf numFmtId="0" fontId="25" fillId="0" borderId="0" applyFill="0" applyBorder="0" applyProtection="0">
      <alignment horizontal="left"/>
    </xf>
    <xf numFmtId="10" fontId="34" fillId="7" borderId="19" applyNumberFormat="0" applyBorder="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44" fillId="25" borderId="46" applyNumberFormat="0" applyAlignment="0" applyProtection="0"/>
    <xf numFmtId="0" fontId="21" fillId="0" borderId="52" applyProtection="0">
      <alignment horizontal="right"/>
    </xf>
    <xf numFmtId="0" fontId="21" fillId="0" borderId="48" applyProtection="0">
      <alignment horizontal="right"/>
    </xf>
    <xf numFmtId="0" fontId="21" fillId="0" borderId="53" applyProtection="0">
      <alignment horizontal="center"/>
      <protection locked="0"/>
    </xf>
    <xf numFmtId="0" fontId="45" fillId="0" borderId="54" applyNumberFormat="0" applyFill="0" applyAlignment="0" applyProtection="0"/>
    <xf numFmtId="0" fontId="4" fillId="0" borderId="0"/>
    <xf numFmtId="0" fontId="4" fillId="0" borderId="0"/>
    <xf numFmtId="0" fontId="4" fillId="0" borderId="0"/>
    <xf numFmtId="1" fontId="4" fillId="0" borderId="0" applyFont="0" applyFill="0" applyBorder="0" applyProtection="0">
      <alignment horizontal="right"/>
    </xf>
    <xf numFmtId="1" fontId="4" fillId="0" borderId="0" applyFont="0" applyFill="0" applyBorder="0" applyProtection="0">
      <alignment horizontal="right"/>
    </xf>
    <xf numFmtId="0" fontId="46" fillId="32" borderId="0" applyNumberFormat="0" applyBorder="0" applyAlignment="0" applyProtection="0"/>
    <xf numFmtId="0" fontId="57" fillId="0" borderId="0"/>
    <xf numFmtId="0" fontId="57" fillId="0" borderId="0"/>
    <xf numFmtId="0" fontId="57" fillId="0" borderId="0"/>
    <xf numFmtId="0" fontId="57" fillId="0" borderId="0"/>
    <xf numFmtId="0" fontId="57"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16"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26" fillId="0" borderId="0"/>
    <xf numFmtId="0" fontId="1" fillId="0" borderId="0"/>
    <xf numFmtId="0" fontId="16"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4"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42" borderId="55" applyNumberFormat="0" applyFont="0" applyAlignment="0" applyProtection="0"/>
    <xf numFmtId="0" fontId="47" fillId="39" borderId="56" applyNumberFormat="0" applyAlignment="0" applyProtection="0"/>
    <xf numFmtId="40" fontId="58" fillId="5" borderId="0">
      <alignment horizontal="right"/>
    </xf>
    <xf numFmtId="0" fontId="59" fillId="5" borderId="0">
      <alignment horizontal="right"/>
    </xf>
    <xf numFmtId="0" fontId="60" fillId="5" borderId="15"/>
    <xf numFmtId="0" fontId="60" fillId="0" borderId="0" applyBorder="0">
      <alignment horizontal="centerContinuous"/>
    </xf>
    <xf numFmtId="0" fontId="61" fillId="0" borderId="0" applyBorder="0">
      <alignment horizontal="centerContinuous"/>
    </xf>
    <xf numFmtId="178" fontId="4" fillId="0" borderId="0" applyFont="0" applyFill="0" applyBorder="0" applyProtection="0">
      <alignment horizontal="right"/>
    </xf>
    <xf numFmtId="178" fontId="4" fillId="0" borderId="0" applyFont="0" applyFill="0" applyBorder="0" applyProtection="0">
      <alignment horizontal="right"/>
    </xf>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4" fillId="0" borderId="0"/>
    <xf numFmtId="2" fontId="62" fillId="43" borderId="12" applyAlignment="0" applyProtection="0">
      <protection locked="0"/>
    </xf>
    <xf numFmtId="0" fontId="63" fillId="7" borderId="12" applyNumberFormat="0" applyAlignment="0" applyProtection="0"/>
    <xf numFmtId="0" fontId="64" fillId="44" borderId="19" applyNumberFormat="0" applyAlignment="0" applyProtection="0">
      <alignment horizontal="center" vertical="center"/>
    </xf>
    <xf numFmtId="4" fontId="26" fillId="4" borderId="56" applyNumberFormat="0" applyProtection="0">
      <alignment vertical="center"/>
    </xf>
    <xf numFmtId="4" fontId="65" fillId="4" borderId="56" applyNumberFormat="0" applyProtection="0">
      <alignment vertical="center"/>
    </xf>
    <xf numFmtId="4" fontId="26" fillId="4" borderId="56" applyNumberFormat="0" applyProtection="0">
      <alignment horizontal="left" vertical="center" indent="1"/>
    </xf>
    <xf numFmtId="4" fontId="26" fillId="4" borderId="56" applyNumberFormat="0" applyProtection="0">
      <alignment horizontal="left" vertical="center" indent="1"/>
    </xf>
    <xf numFmtId="0" fontId="4" fillId="45" borderId="56" applyNumberFormat="0" applyProtection="0">
      <alignment horizontal="left" vertical="center" indent="1"/>
    </xf>
    <xf numFmtId="4" fontId="26" fillId="46" borderId="56" applyNumberFormat="0" applyProtection="0">
      <alignment horizontal="right" vertical="center"/>
    </xf>
    <xf numFmtId="4" fontId="26" fillId="47" borderId="56" applyNumberFormat="0" applyProtection="0">
      <alignment horizontal="right" vertical="center"/>
    </xf>
    <xf numFmtId="4" fontId="26" fillId="48" borderId="56" applyNumberFormat="0" applyProtection="0">
      <alignment horizontal="right" vertical="center"/>
    </xf>
    <xf numFmtId="4" fontId="26" fillId="49" borderId="56" applyNumberFormat="0" applyProtection="0">
      <alignment horizontal="right" vertical="center"/>
    </xf>
    <xf numFmtId="4" fontId="26" fillId="50" borderId="56" applyNumberFormat="0" applyProtection="0">
      <alignment horizontal="right" vertical="center"/>
    </xf>
    <xf numFmtId="4" fontId="26" fillId="51" borderId="56" applyNumberFormat="0" applyProtection="0">
      <alignment horizontal="right" vertical="center"/>
    </xf>
    <xf numFmtId="4" fontId="26" fillId="52" borderId="56" applyNumberFormat="0" applyProtection="0">
      <alignment horizontal="right" vertical="center"/>
    </xf>
    <xf numFmtId="4" fontId="26" fillId="53" borderId="56" applyNumberFormat="0" applyProtection="0">
      <alignment horizontal="right" vertical="center"/>
    </xf>
    <xf numFmtId="4" fontId="26" fillId="54" borderId="56" applyNumberFormat="0" applyProtection="0">
      <alignment horizontal="right" vertical="center"/>
    </xf>
    <xf numFmtId="4" fontId="66" fillId="55" borderId="56" applyNumberFormat="0" applyProtection="0">
      <alignment horizontal="left" vertical="center" indent="1"/>
    </xf>
    <xf numFmtId="4" fontId="26" fillId="56" borderId="57" applyNumberFormat="0" applyProtection="0">
      <alignment horizontal="left" vertical="center" indent="1"/>
    </xf>
    <xf numFmtId="4" fontId="67" fillId="57" borderId="0" applyNumberFormat="0" applyProtection="0">
      <alignment horizontal="left" vertical="center" indent="1"/>
    </xf>
    <xf numFmtId="0" fontId="4" fillId="45" borderId="56" applyNumberFormat="0" applyProtection="0">
      <alignment horizontal="left" vertical="center" indent="1"/>
    </xf>
    <xf numFmtId="4" fontId="26" fillId="56" borderId="56" applyNumberFormat="0" applyProtection="0">
      <alignment horizontal="left" vertical="center" indent="1"/>
    </xf>
    <xf numFmtId="4" fontId="26" fillId="58" borderId="56" applyNumberFormat="0" applyProtection="0">
      <alignment horizontal="left" vertical="center" indent="1"/>
    </xf>
    <xf numFmtId="0" fontId="4" fillId="58" borderId="56" applyNumberFormat="0" applyProtection="0">
      <alignment horizontal="left" vertical="center" indent="1"/>
    </xf>
    <xf numFmtId="0" fontId="4" fillId="58" borderId="56" applyNumberFormat="0" applyProtection="0">
      <alignment horizontal="left" vertical="center" indent="1"/>
    </xf>
    <xf numFmtId="0" fontId="4" fillId="44" borderId="56" applyNumberFormat="0" applyProtection="0">
      <alignment horizontal="left" vertical="center" indent="1"/>
    </xf>
    <xf numFmtId="0" fontId="4" fillId="44" borderId="56" applyNumberFormat="0" applyProtection="0">
      <alignment horizontal="left" vertical="center" indent="1"/>
    </xf>
    <xf numFmtId="0" fontId="4" fillId="9" borderId="56" applyNumberFormat="0" applyProtection="0">
      <alignment horizontal="left" vertical="center" indent="1"/>
    </xf>
    <xf numFmtId="0" fontId="4" fillId="9" borderId="56" applyNumberFormat="0" applyProtection="0">
      <alignment horizontal="left" vertical="center" indent="1"/>
    </xf>
    <xf numFmtId="0" fontId="4" fillId="45" borderId="56" applyNumberFormat="0" applyProtection="0">
      <alignment horizontal="left" vertical="center" indent="1"/>
    </xf>
    <xf numFmtId="0" fontId="4" fillId="45" borderId="56" applyNumberFormat="0" applyProtection="0">
      <alignment horizontal="left" vertical="center" indent="1"/>
    </xf>
    <xf numFmtId="4" fontId="26" fillId="7" borderId="56" applyNumberFormat="0" applyProtection="0">
      <alignment vertical="center"/>
    </xf>
    <xf numFmtId="4" fontId="65" fillId="7" borderId="56" applyNumberFormat="0" applyProtection="0">
      <alignment vertical="center"/>
    </xf>
    <xf numFmtId="4" fontId="26" fillId="7" borderId="56" applyNumberFormat="0" applyProtection="0">
      <alignment horizontal="left" vertical="center" indent="1"/>
    </xf>
    <xf numFmtId="4" fontId="26" fillId="7" borderId="56" applyNumberFormat="0" applyProtection="0">
      <alignment horizontal="left" vertical="center" indent="1"/>
    </xf>
    <xf numFmtId="4" fontId="26" fillId="56" borderId="56" applyNumberFormat="0" applyProtection="0">
      <alignment horizontal="right" vertical="center"/>
    </xf>
    <xf numFmtId="4" fontId="65" fillId="56" borderId="56" applyNumberFormat="0" applyProtection="0">
      <alignment horizontal="right" vertical="center"/>
    </xf>
    <xf numFmtId="0" fontId="4" fillId="45" borderId="56" applyNumberFormat="0" applyProtection="0">
      <alignment horizontal="left" vertical="center" indent="1"/>
    </xf>
    <xf numFmtId="0" fontId="4" fillId="45" borderId="56" applyNumberFormat="0" applyProtection="0">
      <alignment horizontal="left" vertical="center" indent="1"/>
    </xf>
    <xf numFmtId="0" fontId="68" fillId="0" borderId="0"/>
    <xf numFmtId="4" fontId="69" fillId="56" borderId="56" applyNumberFormat="0" applyProtection="0">
      <alignment horizontal="right" vertical="center"/>
    </xf>
    <xf numFmtId="0" fontId="4" fillId="0" borderId="0"/>
    <xf numFmtId="0" fontId="27" fillId="5" borderId="21">
      <alignment horizontal="center"/>
    </xf>
    <xf numFmtId="3" fontId="28" fillId="5" borderId="0"/>
    <xf numFmtId="3" fontId="27" fillId="5" borderId="0"/>
    <xf numFmtId="0" fontId="28" fillId="5" borderId="0"/>
    <xf numFmtId="0" fontId="27" fillId="5" borderId="0"/>
    <xf numFmtId="0" fontId="28" fillId="5" borderId="0">
      <alignment horizontal="center"/>
    </xf>
    <xf numFmtId="0" fontId="29" fillId="0" borderId="0">
      <alignment wrapText="1"/>
    </xf>
    <xf numFmtId="0" fontId="29" fillId="0" borderId="0">
      <alignment wrapText="1"/>
    </xf>
    <xf numFmtId="0" fontId="29" fillId="0" borderId="0">
      <alignment wrapText="1"/>
    </xf>
    <xf numFmtId="0" fontId="29" fillId="0" borderId="0">
      <alignment wrapText="1"/>
    </xf>
    <xf numFmtId="0" fontId="30" fillId="59" borderId="0">
      <alignment horizontal="right" vertical="top" wrapText="1"/>
    </xf>
    <xf numFmtId="0" fontId="30" fillId="59" borderId="0">
      <alignment horizontal="right" vertical="top" wrapText="1"/>
    </xf>
    <xf numFmtId="0" fontId="30" fillId="59" borderId="0">
      <alignment horizontal="right" vertical="top" wrapText="1"/>
    </xf>
    <xf numFmtId="0" fontId="30" fillId="59" borderId="0">
      <alignment horizontal="right" vertical="top" wrapText="1"/>
    </xf>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33" fillId="0" borderId="0"/>
    <xf numFmtId="0" fontId="33" fillId="0" borderId="0"/>
    <xf numFmtId="0" fontId="33" fillId="0" borderId="0"/>
    <xf numFmtId="179" fontId="34" fillId="0" borderId="0">
      <alignment wrapText="1"/>
      <protection locked="0"/>
    </xf>
    <xf numFmtId="179" fontId="34" fillId="0" borderId="0">
      <alignment wrapText="1"/>
      <protection locked="0"/>
    </xf>
    <xf numFmtId="179" fontId="30" fillId="60" borderId="0">
      <alignment wrapText="1"/>
      <protection locked="0"/>
    </xf>
    <xf numFmtId="179" fontId="30" fillId="60" borderId="0">
      <alignment wrapText="1"/>
      <protection locked="0"/>
    </xf>
    <xf numFmtId="179" fontId="30" fillId="60" borderId="0">
      <alignment wrapText="1"/>
      <protection locked="0"/>
    </xf>
    <xf numFmtId="179" fontId="30" fillId="60" borderId="0">
      <alignment wrapText="1"/>
      <protection locked="0"/>
    </xf>
    <xf numFmtId="179" fontId="34" fillId="0" borderId="0">
      <alignment wrapText="1"/>
      <protection locked="0"/>
    </xf>
    <xf numFmtId="180" fontId="34" fillId="0" borderId="0">
      <alignment wrapText="1"/>
      <protection locked="0"/>
    </xf>
    <xf numFmtId="180" fontId="34" fillId="0" borderId="0">
      <alignment wrapText="1"/>
      <protection locked="0"/>
    </xf>
    <xf numFmtId="180" fontId="34" fillId="0" borderId="0">
      <alignment wrapText="1"/>
      <protection locked="0"/>
    </xf>
    <xf numFmtId="180" fontId="30" fillId="60" borderId="0">
      <alignment wrapText="1"/>
      <protection locked="0"/>
    </xf>
    <xf numFmtId="180" fontId="30" fillId="60" borderId="0">
      <alignment wrapText="1"/>
      <protection locked="0"/>
    </xf>
    <xf numFmtId="180" fontId="30" fillId="60" borderId="0">
      <alignment wrapText="1"/>
      <protection locked="0"/>
    </xf>
    <xf numFmtId="180" fontId="30" fillId="60" borderId="0">
      <alignment wrapText="1"/>
      <protection locked="0"/>
    </xf>
    <xf numFmtId="180" fontId="30" fillId="60" borderId="0">
      <alignment wrapText="1"/>
      <protection locked="0"/>
    </xf>
    <xf numFmtId="180" fontId="34" fillId="0" borderId="0">
      <alignment wrapText="1"/>
      <protection locked="0"/>
    </xf>
    <xf numFmtId="181" fontId="34" fillId="0" borderId="0">
      <alignment wrapText="1"/>
      <protection locked="0"/>
    </xf>
    <xf numFmtId="181" fontId="34" fillId="0" borderId="0">
      <alignment wrapText="1"/>
      <protection locked="0"/>
    </xf>
    <xf numFmtId="181" fontId="30" fillId="60" borderId="0">
      <alignment wrapText="1"/>
      <protection locked="0"/>
    </xf>
    <xf numFmtId="181" fontId="30" fillId="60" borderId="0">
      <alignment wrapText="1"/>
      <protection locked="0"/>
    </xf>
    <xf numFmtId="181" fontId="30" fillId="60" borderId="0">
      <alignment wrapText="1"/>
      <protection locked="0"/>
    </xf>
    <xf numFmtId="181" fontId="30" fillId="60" borderId="0">
      <alignment wrapText="1"/>
      <protection locked="0"/>
    </xf>
    <xf numFmtId="181" fontId="34" fillId="0" borderId="0">
      <alignment wrapText="1"/>
      <protection locked="0"/>
    </xf>
    <xf numFmtId="182" fontId="30" fillId="59" borderId="58">
      <alignment wrapText="1"/>
    </xf>
    <xf numFmtId="182" fontId="30" fillId="59" borderId="58">
      <alignment wrapText="1"/>
    </xf>
    <xf numFmtId="182" fontId="30" fillId="59" borderId="58">
      <alignment wrapText="1"/>
    </xf>
    <xf numFmtId="183" fontId="30" fillId="59" borderId="58">
      <alignment wrapText="1"/>
    </xf>
    <xf numFmtId="183" fontId="30" fillId="59" borderId="58">
      <alignment wrapText="1"/>
    </xf>
    <xf numFmtId="183" fontId="30" fillId="59" borderId="58">
      <alignment wrapText="1"/>
    </xf>
    <xf numFmtId="183" fontId="30" fillId="59" borderId="58">
      <alignment wrapText="1"/>
    </xf>
    <xf numFmtId="184" fontId="30" fillId="59" borderId="58">
      <alignment wrapText="1"/>
    </xf>
    <xf numFmtId="184" fontId="30" fillId="59" borderId="58">
      <alignment wrapText="1"/>
    </xf>
    <xf numFmtId="184" fontId="30" fillId="59" borderId="58">
      <alignment wrapText="1"/>
    </xf>
    <xf numFmtId="0" fontId="31" fillId="0" borderId="59">
      <alignment horizontal="right"/>
    </xf>
    <xf numFmtId="0" fontId="31" fillId="0" borderId="59">
      <alignment horizontal="right"/>
    </xf>
    <xf numFmtId="0" fontId="31" fillId="0" borderId="59">
      <alignment horizontal="right"/>
    </xf>
    <xf numFmtId="0" fontId="31" fillId="0" borderId="59">
      <alignment horizontal="right"/>
    </xf>
    <xf numFmtId="40" fontId="70" fillId="0" borderId="0"/>
    <xf numFmtId="0" fontId="48" fillId="0" borderId="0" applyNumberFormat="0" applyFill="0" applyBorder="0" applyAlignment="0" applyProtection="0"/>
    <xf numFmtId="0" fontId="71" fillId="0" borderId="0" applyNumberFormat="0" applyFill="0" applyBorder="0" applyProtection="0">
      <alignment horizontal="left" vertical="center" indent="10"/>
    </xf>
    <xf numFmtId="0" fontId="71" fillId="0" borderId="0" applyNumberFormat="0" applyFill="0" applyBorder="0" applyProtection="0">
      <alignment horizontal="left" vertical="center" indent="10"/>
    </xf>
    <xf numFmtId="0" fontId="49" fillId="0" borderId="60" applyNumberFormat="0" applyFill="0" applyAlignment="0" applyProtection="0"/>
    <xf numFmtId="0" fontId="50" fillId="0" borderId="0" applyNumberFormat="0" applyFill="0" applyBorder="0" applyAlignment="0" applyProtection="0"/>
    <xf numFmtId="0" fontId="3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37" fontId="73" fillId="0" borderId="0"/>
    <xf numFmtId="0" fontId="76" fillId="0" borderId="0" applyNumberFormat="0" applyFill="0" applyBorder="0" applyAlignment="0" applyProtection="0"/>
  </cellStyleXfs>
  <cellXfs count="441">
    <xf numFmtId="0" fontId="0" fillId="0" borderId="0" xfId="0"/>
    <xf numFmtId="0" fontId="2" fillId="0" borderId="0" xfId="0" applyFont="1"/>
    <xf numFmtId="10" fontId="0" fillId="0" borderId="0" xfId="1" applyNumberFormat="1" applyFont="1"/>
    <xf numFmtId="17" fontId="0" fillId="0" borderId="0" xfId="0" applyNumberFormat="1"/>
    <xf numFmtId="2" fontId="0" fillId="0" borderId="0" xfId="0" applyNumberFormat="1"/>
    <xf numFmtId="1" fontId="0" fillId="0" borderId="0" xfId="0" applyNumberFormat="1"/>
    <xf numFmtId="0" fontId="6" fillId="2" borderId="0" xfId="3" applyFont="1" applyFill="1" applyProtection="1">
      <protection locked="0"/>
    </xf>
    <xf numFmtId="0" fontId="1" fillId="2" borderId="0" xfId="3" applyFill="1" applyProtection="1">
      <protection locked="0"/>
    </xf>
    <xf numFmtId="0" fontId="1" fillId="2" borderId="0" xfId="3" applyFill="1"/>
    <xf numFmtId="3" fontId="1" fillId="2" borderId="0" xfId="3" applyNumberFormat="1" applyFill="1"/>
    <xf numFmtId="0" fontId="1" fillId="0" borderId="0" xfId="3"/>
    <xf numFmtId="0" fontId="6" fillId="2" borderId="0" xfId="3" applyFont="1" applyFill="1"/>
    <xf numFmtId="0" fontId="2" fillId="3" borderId="19" xfId="3" applyFont="1" applyFill="1" applyBorder="1" applyAlignment="1">
      <alignment horizontal="center" vertical="center" wrapText="1"/>
    </xf>
    <xf numFmtId="0" fontId="8" fillId="3" borderId="11" xfId="3" applyFont="1" applyFill="1" applyBorder="1" applyAlignment="1">
      <alignment horizontal="center" vertical="center" wrapText="1"/>
    </xf>
    <xf numFmtId="0" fontId="2" fillId="3" borderId="19" xfId="3" applyFont="1" applyFill="1" applyBorder="1" applyAlignment="1">
      <alignment horizontal="center"/>
    </xf>
    <xf numFmtId="0" fontId="2" fillId="0" borderId="9" xfId="3" applyFont="1" applyBorder="1"/>
    <xf numFmtId="0" fontId="1" fillId="0" borderId="10" xfId="3" applyBorder="1"/>
    <xf numFmtId="0" fontId="1" fillId="0" borderId="9" xfId="3" applyBorder="1"/>
    <xf numFmtId="0" fontId="1" fillId="0" borderId="13" xfId="3" applyBorder="1"/>
    <xf numFmtId="168" fontId="1" fillId="6" borderId="10" xfId="3" applyNumberFormat="1" applyFill="1" applyBorder="1"/>
    <xf numFmtId="3" fontId="1" fillId="6" borderId="10" xfId="3" applyNumberFormat="1" applyFill="1" applyBorder="1"/>
    <xf numFmtId="3" fontId="1" fillId="6" borderId="13" xfId="3" applyNumberFormat="1" applyFill="1" applyBorder="1"/>
    <xf numFmtId="3" fontId="1" fillId="8" borderId="9" xfId="3" applyNumberFormat="1" applyFill="1" applyBorder="1"/>
    <xf numFmtId="3" fontId="1" fillId="8" borderId="13" xfId="3" applyNumberFormat="1" applyFill="1" applyBorder="1"/>
    <xf numFmtId="3" fontId="1" fillId="8" borderId="10" xfId="3" applyNumberFormat="1" applyFill="1" applyBorder="1"/>
    <xf numFmtId="0" fontId="1" fillId="0" borderId="14" xfId="3" applyBorder="1"/>
    <xf numFmtId="0" fontId="1" fillId="0" borderId="15" xfId="3" applyBorder="1"/>
    <xf numFmtId="168" fontId="1" fillId="6" borderId="0" xfId="3" applyNumberFormat="1" applyFill="1"/>
    <xf numFmtId="3" fontId="1" fillId="6" borderId="0" xfId="3" applyNumberFormat="1" applyFill="1"/>
    <xf numFmtId="3" fontId="1" fillId="6" borderId="15" xfId="3" applyNumberFormat="1" applyFill="1" applyBorder="1"/>
    <xf numFmtId="3" fontId="1" fillId="8" borderId="14" xfId="3" applyNumberFormat="1" applyFill="1" applyBorder="1"/>
    <xf numFmtId="3" fontId="1" fillId="8" borderId="15" xfId="3" applyNumberFormat="1" applyFill="1" applyBorder="1"/>
    <xf numFmtId="3" fontId="1" fillId="8" borderId="0" xfId="3" applyNumberFormat="1" applyFill="1"/>
    <xf numFmtId="0" fontId="1" fillId="0" borderId="16" xfId="3" applyBorder="1"/>
    <xf numFmtId="0" fontId="1" fillId="0" borderId="23" xfId="3" applyBorder="1"/>
    <xf numFmtId="0" fontId="1" fillId="0" borderId="17" xfId="3" applyBorder="1"/>
    <xf numFmtId="168" fontId="1" fillId="6" borderId="23" xfId="3" applyNumberFormat="1" applyFill="1" applyBorder="1"/>
    <xf numFmtId="3" fontId="1" fillId="6" borderId="23" xfId="3" applyNumberFormat="1" applyFill="1" applyBorder="1"/>
    <xf numFmtId="3" fontId="1" fillId="6" borderId="17" xfId="3" applyNumberFormat="1" applyFill="1" applyBorder="1"/>
    <xf numFmtId="3" fontId="1" fillId="8" borderId="16" xfId="3" applyNumberFormat="1" applyFill="1" applyBorder="1"/>
    <xf numFmtId="3" fontId="1" fillId="8" borderId="17" xfId="3" applyNumberFormat="1" applyFill="1" applyBorder="1"/>
    <xf numFmtId="3" fontId="1" fillId="8" borderId="23" xfId="3" applyNumberFormat="1" applyFill="1" applyBorder="1"/>
    <xf numFmtId="0" fontId="1" fillId="10" borderId="14" xfId="3" applyFill="1" applyBorder="1"/>
    <xf numFmtId="0" fontId="1" fillId="10" borderId="15" xfId="3" applyFill="1" applyBorder="1"/>
    <xf numFmtId="0" fontId="1" fillId="10" borderId="0" xfId="3" applyFill="1"/>
    <xf numFmtId="168" fontId="1" fillId="10" borderId="14" xfId="3" applyNumberFormat="1" applyFill="1" applyBorder="1"/>
    <xf numFmtId="168" fontId="1" fillId="10" borderId="0" xfId="3" applyNumberFormat="1" applyFill="1"/>
    <xf numFmtId="3" fontId="1" fillId="10" borderId="0" xfId="3" applyNumberFormat="1" applyFill="1"/>
    <xf numFmtId="3" fontId="1" fillId="10" borderId="15" xfId="3" applyNumberFormat="1" applyFill="1" applyBorder="1"/>
    <xf numFmtId="3" fontId="1" fillId="10" borderId="14" xfId="3" applyNumberFormat="1" applyFill="1" applyBorder="1"/>
    <xf numFmtId="168" fontId="1" fillId="6" borderId="9" xfId="3" applyNumberFormat="1" applyFill="1" applyBorder="1"/>
    <xf numFmtId="168" fontId="1" fillId="6" borderId="14" xfId="3" applyNumberFormat="1" applyFill="1" applyBorder="1"/>
    <xf numFmtId="168" fontId="1" fillId="6" borderId="16" xfId="3" applyNumberFormat="1" applyFill="1" applyBorder="1"/>
    <xf numFmtId="168" fontId="1" fillId="10" borderId="6" xfId="3" applyNumberFormat="1" applyFill="1" applyBorder="1"/>
    <xf numFmtId="168" fontId="1" fillId="10" borderId="7" xfId="3" applyNumberFormat="1" applyFill="1" applyBorder="1"/>
    <xf numFmtId="3" fontId="1" fillId="10" borderId="7" xfId="3" applyNumberFormat="1" applyFill="1" applyBorder="1"/>
    <xf numFmtId="3" fontId="1" fillId="10" borderId="8" xfId="3" applyNumberFormat="1" applyFill="1" applyBorder="1"/>
    <xf numFmtId="168" fontId="1" fillId="0" borderId="14" xfId="3" applyNumberFormat="1" applyBorder="1"/>
    <xf numFmtId="168" fontId="1" fillId="0" borderId="0" xfId="3" applyNumberFormat="1"/>
    <xf numFmtId="3" fontId="1" fillId="0" borderId="0" xfId="3" applyNumberFormat="1"/>
    <xf numFmtId="3" fontId="1" fillId="0" borderId="10" xfId="3" applyNumberFormat="1" applyBorder="1"/>
    <xf numFmtId="3" fontId="1" fillId="0" borderId="15" xfId="3" applyNumberFormat="1" applyBorder="1"/>
    <xf numFmtId="0" fontId="8" fillId="2" borderId="0" xfId="0" applyFont="1" applyFill="1"/>
    <xf numFmtId="0" fontId="0" fillId="2" borderId="0" xfId="0" applyFill="1"/>
    <xf numFmtId="14" fontId="0" fillId="2" borderId="0" xfId="0" applyNumberFormat="1" applyFill="1"/>
    <xf numFmtId="0" fontId="2" fillId="2" borderId="0" xfId="0" applyFont="1" applyFill="1"/>
    <xf numFmtId="165" fontId="0" fillId="0" borderId="0" xfId="8" applyNumberFormat="1" applyFont="1"/>
    <xf numFmtId="165" fontId="0" fillId="13" borderId="0" xfId="8" applyNumberFormat="1" applyFont="1" applyFill="1"/>
    <xf numFmtId="165" fontId="0" fillId="14" borderId="0" xfId="8" applyNumberFormat="1" applyFont="1" applyFill="1"/>
    <xf numFmtId="165" fontId="2" fillId="12" borderId="14" xfId="8" applyNumberFormat="1" applyFont="1" applyFill="1" applyBorder="1"/>
    <xf numFmtId="165" fontId="0" fillId="14" borderId="14" xfId="8" applyNumberFormat="1" applyFont="1" applyFill="1" applyBorder="1"/>
    <xf numFmtId="165" fontId="0" fillId="0" borderId="0" xfId="0" applyNumberFormat="1"/>
    <xf numFmtId="9" fontId="0" fillId="0" borderId="0" xfId="1" applyFont="1"/>
    <xf numFmtId="10" fontId="0" fillId="0" borderId="0" xfId="0" applyNumberFormat="1"/>
    <xf numFmtId="9" fontId="0" fillId="0" borderId="0" xfId="0" applyNumberFormat="1"/>
    <xf numFmtId="0" fontId="8" fillId="3" borderId="28" xfId="3" applyFont="1" applyFill="1" applyBorder="1" applyAlignment="1">
      <alignment horizontal="center" vertical="center" wrapText="1"/>
    </xf>
    <xf numFmtId="0" fontId="2" fillId="3" borderId="29" xfId="3" applyFont="1" applyFill="1" applyBorder="1" applyAlignment="1">
      <alignment horizontal="center"/>
    </xf>
    <xf numFmtId="0" fontId="2" fillId="3" borderId="30" xfId="3" applyFont="1" applyFill="1" applyBorder="1" applyAlignment="1">
      <alignment horizontal="center"/>
    </xf>
    <xf numFmtId="0" fontId="2" fillId="3" borderId="31" xfId="3" applyFont="1" applyFill="1" applyBorder="1" applyAlignment="1">
      <alignment horizontal="center"/>
    </xf>
    <xf numFmtId="0" fontId="8" fillId="2" borderId="28" xfId="3" applyFont="1" applyFill="1" applyBorder="1" applyAlignment="1">
      <alignment horizontal="center" vertical="center" wrapText="1"/>
    </xf>
    <xf numFmtId="0" fontId="2" fillId="0" borderId="29" xfId="3" applyFont="1" applyBorder="1" applyAlignment="1">
      <alignment horizontal="center"/>
    </xf>
    <xf numFmtId="0" fontId="2" fillId="0" borderId="30" xfId="3" applyFont="1" applyBorder="1" applyAlignment="1">
      <alignment horizontal="center"/>
    </xf>
    <xf numFmtId="0" fontId="2" fillId="0" borderId="31" xfId="3" applyFont="1" applyBorder="1" applyAlignment="1">
      <alignment horizontal="center"/>
    </xf>
    <xf numFmtId="0" fontId="1" fillId="0" borderId="12" xfId="3" applyBorder="1"/>
    <xf numFmtId="9" fontId="1" fillId="6" borderId="14" xfId="4" applyFont="1" applyFill="1" applyBorder="1" applyAlignment="1">
      <alignment horizontal="center"/>
    </xf>
    <xf numFmtId="9" fontId="1" fillId="6" borderId="0" xfId="4" applyFont="1" applyFill="1" applyBorder="1" applyAlignment="1">
      <alignment horizontal="center"/>
    </xf>
    <xf numFmtId="9" fontId="1" fillId="8" borderId="0" xfId="4" applyFont="1" applyFill="1" applyBorder="1" applyAlignment="1">
      <alignment horizontal="center"/>
    </xf>
    <xf numFmtId="9" fontId="1" fillId="8" borderId="15" xfId="4" applyFont="1" applyFill="1" applyBorder="1" applyAlignment="1">
      <alignment horizontal="center"/>
    </xf>
    <xf numFmtId="10" fontId="1" fillId="6" borderId="14" xfId="4" applyNumberFormat="1" applyFont="1" applyFill="1" applyBorder="1" applyAlignment="1">
      <alignment horizontal="center"/>
    </xf>
    <xf numFmtId="10" fontId="1" fillId="6" borderId="0" xfId="4" applyNumberFormat="1" applyFont="1" applyFill="1" applyBorder="1" applyAlignment="1">
      <alignment horizontal="center"/>
    </xf>
    <xf numFmtId="10" fontId="1" fillId="8" borderId="0" xfId="4" applyNumberFormat="1" applyFont="1" applyFill="1" applyBorder="1" applyAlignment="1">
      <alignment horizontal="center"/>
    </xf>
    <xf numFmtId="164" fontId="1" fillId="8" borderId="0" xfId="4" applyNumberFormat="1" applyFont="1" applyFill="1" applyBorder="1" applyAlignment="1">
      <alignment horizontal="center"/>
    </xf>
    <xf numFmtId="164" fontId="1" fillId="8" borderId="15" xfId="4" applyNumberFormat="1" applyFont="1" applyFill="1" applyBorder="1" applyAlignment="1">
      <alignment horizontal="center"/>
    </xf>
    <xf numFmtId="0" fontId="1" fillId="2" borderId="12" xfId="3" applyFill="1" applyBorder="1"/>
    <xf numFmtId="10" fontId="1" fillId="8" borderId="15" xfId="4" applyNumberFormat="1" applyFont="1" applyFill="1" applyBorder="1" applyAlignment="1">
      <alignment horizontal="center"/>
    </xf>
    <xf numFmtId="43" fontId="1" fillId="6" borderId="14" xfId="7" applyFont="1" applyFill="1" applyBorder="1" applyAlignment="1">
      <alignment horizontal="left"/>
    </xf>
    <xf numFmtId="43" fontId="1" fillId="6" borderId="0" xfId="7" applyFont="1" applyFill="1" applyBorder="1" applyAlignment="1">
      <alignment horizontal="left"/>
    </xf>
    <xf numFmtId="43" fontId="1" fillId="8" borderId="0" xfId="7" applyFont="1" applyFill="1" applyBorder="1" applyAlignment="1">
      <alignment horizontal="left"/>
    </xf>
    <xf numFmtId="43" fontId="1" fillId="8" borderId="15" xfId="7" applyFont="1" applyFill="1" applyBorder="1" applyAlignment="1">
      <alignment horizontal="left"/>
    </xf>
    <xf numFmtId="0" fontId="1" fillId="2" borderId="12" xfId="3" applyFill="1" applyBorder="1" applyAlignment="1">
      <alignment vertical="center" wrapText="1"/>
    </xf>
    <xf numFmtId="0" fontId="7" fillId="2" borderId="12" xfId="3" applyFont="1" applyFill="1" applyBorder="1"/>
    <xf numFmtId="0" fontId="2" fillId="0" borderId="14" xfId="3" applyFont="1" applyBorder="1" applyAlignment="1">
      <alignment horizontal="center"/>
    </xf>
    <xf numFmtId="0" fontId="2" fillId="0" borderId="0" xfId="3" applyFont="1" applyAlignment="1">
      <alignment horizontal="center"/>
    </xf>
    <xf numFmtId="0" fontId="2" fillId="0" borderId="15" xfId="3" applyFont="1" applyBorder="1" applyAlignment="1">
      <alignment horizontal="center"/>
    </xf>
    <xf numFmtId="0" fontId="1" fillId="0" borderId="28" xfId="3" applyBorder="1"/>
    <xf numFmtId="0" fontId="1" fillId="6" borderId="14" xfId="3" applyFill="1" applyBorder="1" applyAlignment="1">
      <alignment horizontal="center"/>
    </xf>
    <xf numFmtId="0" fontId="1" fillId="6" borderId="0" xfId="3" applyFill="1" applyAlignment="1">
      <alignment horizontal="center"/>
    </xf>
    <xf numFmtId="167" fontId="1" fillId="8" borderId="0" xfId="3" applyNumberFormat="1" applyFill="1" applyAlignment="1">
      <alignment horizontal="center"/>
    </xf>
    <xf numFmtId="167" fontId="1" fillId="8" borderId="15" xfId="3" applyNumberFormat="1" applyFill="1" applyBorder="1" applyAlignment="1">
      <alignment horizontal="center"/>
    </xf>
    <xf numFmtId="0" fontId="2" fillId="6" borderId="14" xfId="3" applyFont="1" applyFill="1" applyBorder="1" applyAlignment="1">
      <alignment horizontal="center"/>
    </xf>
    <xf numFmtId="0" fontId="10" fillId="2" borderId="12" xfId="3" applyFont="1" applyFill="1" applyBorder="1"/>
    <xf numFmtId="0" fontId="1" fillId="8" borderId="0" xfId="3" applyFill="1" applyAlignment="1">
      <alignment horizontal="center"/>
    </xf>
    <xf numFmtId="0" fontId="1" fillId="0" borderId="18" xfId="3" applyBorder="1"/>
    <xf numFmtId="0" fontId="2" fillId="0" borderId="16" xfId="3" applyFont="1" applyBorder="1" applyAlignment="1">
      <alignment horizontal="center"/>
    </xf>
    <xf numFmtId="0" fontId="2" fillId="0" borderId="23" xfId="3" applyFont="1" applyBorder="1" applyAlignment="1">
      <alignment horizontal="center"/>
    </xf>
    <xf numFmtId="0" fontId="2" fillId="0" borderId="17" xfId="3" applyFont="1" applyBorder="1" applyAlignment="1">
      <alignment horizontal="center"/>
    </xf>
    <xf numFmtId="0" fontId="2" fillId="2" borderId="29" xfId="3" applyFont="1" applyFill="1" applyBorder="1" applyAlignment="1">
      <alignment horizontal="left" vertical="center" wrapText="1"/>
    </xf>
    <xf numFmtId="0" fontId="8" fillId="2" borderId="12" xfId="3" applyFont="1" applyFill="1" applyBorder="1" applyAlignment="1">
      <alignment horizontal="center" vertical="center" wrapText="1"/>
    </xf>
    <xf numFmtId="0" fontId="1" fillId="0" borderId="12" xfId="3" applyBorder="1" applyAlignment="1">
      <alignment wrapText="1"/>
    </xf>
    <xf numFmtId="165" fontId="1" fillId="6" borderId="0" xfId="7" applyNumberFormat="1" applyFont="1" applyFill="1" applyBorder="1"/>
    <xf numFmtId="165" fontId="1" fillId="8" borderId="0" xfId="7" applyNumberFormat="1" applyFont="1" applyFill="1" applyBorder="1"/>
    <xf numFmtId="165" fontId="1" fillId="8" borderId="15" xfId="7" applyNumberFormat="1" applyFont="1" applyFill="1" applyBorder="1"/>
    <xf numFmtId="0" fontId="1" fillId="6" borderId="0" xfId="3" applyFill="1"/>
    <xf numFmtId="0" fontId="1" fillId="8" borderId="0" xfId="3" applyFill="1"/>
    <xf numFmtId="0" fontId="1" fillId="8" borderId="15" xfId="3" applyFill="1" applyBorder="1"/>
    <xf numFmtId="0" fontId="2" fillId="0" borderId="12" xfId="3" applyFont="1" applyBorder="1"/>
    <xf numFmtId="165" fontId="1" fillId="6" borderId="0" xfId="3" applyNumberFormat="1" applyFill="1"/>
    <xf numFmtId="164" fontId="1" fillId="6" borderId="0" xfId="4" applyNumberFormat="1" applyFont="1" applyFill="1" applyBorder="1"/>
    <xf numFmtId="164" fontId="1" fillId="8" borderId="0" xfId="4" applyNumberFormat="1" applyFont="1" applyFill="1" applyBorder="1"/>
    <xf numFmtId="164" fontId="1" fillId="8" borderId="15" xfId="4" applyNumberFormat="1" applyFont="1" applyFill="1" applyBorder="1"/>
    <xf numFmtId="0" fontId="1" fillId="0" borderId="18" xfId="3" applyBorder="1" applyAlignment="1">
      <alignment wrapText="1"/>
    </xf>
    <xf numFmtId="165" fontId="1" fillId="6" borderId="23" xfId="7" applyNumberFormat="1" applyFont="1" applyFill="1" applyBorder="1"/>
    <xf numFmtId="165" fontId="1" fillId="8" borderId="23" xfId="7" applyNumberFormat="1" applyFont="1" applyFill="1" applyBorder="1"/>
    <xf numFmtId="165" fontId="1" fillId="8" borderId="17" xfId="7" applyNumberFormat="1" applyFont="1" applyFill="1" applyBorder="1"/>
    <xf numFmtId="10" fontId="1" fillId="6" borderId="0" xfId="3" applyNumberFormat="1" applyFill="1"/>
    <xf numFmtId="10" fontId="1" fillId="8" borderId="0" xfId="4" applyNumberFormat="1" applyFont="1" applyFill="1" applyBorder="1"/>
    <xf numFmtId="10" fontId="1" fillId="8" borderId="15" xfId="4" applyNumberFormat="1" applyFont="1" applyFill="1" applyBorder="1"/>
    <xf numFmtId="3" fontId="1" fillId="2" borderId="0" xfId="3" applyNumberFormat="1" applyFill="1" applyAlignment="1">
      <alignment horizontal="right"/>
    </xf>
    <xf numFmtId="0" fontId="8" fillId="3" borderId="32" xfId="3" applyFont="1" applyFill="1" applyBorder="1" applyAlignment="1">
      <alignment horizontal="left" vertical="center" wrapText="1"/>
    </xf>
    <xf numFmtId="0" fontId="8" fillId="3" borderId="37" xfId="3" applyFont="1" applyFill="1" applyBorder="1" applyAlignment="1">
      <alignment horizontal="left" vertical="center" wrapText="1"/>
    </xf>
    <xf numFmtId="0" fontId="2" fillId="3" borderId="26" xfId="3" applyFont="1" applyFill="1" applyBorder="1" applyAlignment="1">
      <alignment horizontal="center" vertical="center"/>
    </xf>
    <xf numFmtId="0" fontId="2" fillId="3" borderId="27" xfId="3" applyFont="1" applyFill="1" applyBorder="1" applyAlignment="1">
      <alignment horizontal="center" vertical="center"/>
    </xf>
    <xf numFmtId="0" fontId="2" fillId="3" borderId="38" xfId="3" applyFont="1" applyFill="1" applyBorder="1" applyAlignment="1">
      <alignment horizontal="center" vertical="center"/>
    </xf>
    <xf numFmtId="0" fontId="1" fillId="2" borderId="1" xfId="3" applyFill="1" applyBorder="1"/>
    <xf numFmtId="0" fontId="1" fillId="2" borderId="2" xfId="3" applyFill="1" applyBorder="1"/>
    <xf numFmtId="7" fontId="1" fillId="2" borderId="2" xfId="3" applyNumberFormat="1" applyFill="1" applyBorder="1"/>
    <xf numFmtId="0" fontId="1" fillId="2" borderId="3" xfId="3" applyFill="1" applyBorder="1"/>
    <xf numFmtId="0" fontId="2" fillId="2" borderId="4" xfId="3" applyFont="1" applyFill="1" applyBorder="1"/>
    <xf numFmtId="7" fontId="1" fillId="2" borderId="0" xfId="3" applyNumberFormat="1" applyFill="1"/>
    <xf numFmtId="0" fontId="1" fillId="2" borderId="5" xfId="3" applyFill="1" applyBorder="1"/>
    <xf numFmtId="0" fontId="1" fillId="2" borderId="4" xfId="3" applyFill="1" applyBorder="1"/>
    <xf numFmtId="5" fontId="1" fillId="6" borderId="0" xfId="3" applyNumberFormat="1" applyFill="1"/>
    <xf numFmtId="5" fontId="1" fillId="8" borderId="0" xfId="3" applyNumberFormat="1" applyFill="1"/>
    <xf numFmtId="5" fontId="1" fillId="8" borderId="5" xfId="3" applyNumberFormat="1" applyFill="1" applyBorder="1"/>
    <xf numFmtId="5" fontId="1" fillId="2" borderId="0" xfId="3" applyNumberFormat="1" applyFill="1"/>
    <xf numFmtId="5" fontId="1" fillId="2" borderId="5" xfId="3" applyNumberFormat="1" applyFill="1" applyBorder="1"/>
    <xf numFmtId="0" fontId="2" fillId="2" borderId="20" xfId="3" applyFont="1" applyFill="1" applyBorder="1"/>
    <xf numFmtId="5" fontId="2" fillId="6" borderId="21" xfId="3" applyNumberFormat="1" applyFont="1" applyFill="1" applyBorder="1"/>
    <xf numFmtId="5" fontId="2" fillId="11" borderId="21" xfId="3" applyNumberFormat="1" applyFont="1" applyFill="1" applyBorder="1"/>
    <xf numFmtId="5" fontId="2" fillId="11" borderId="22" xfId="3" applyNumberFormat="1" applyFont="1" applyFill="1" applyBorder="1"/>
    <xf numFmtId="0" fontId="1" fillId="0" borderId="4" xfId="3" applyBorder="1"/>
    <xf numFmtId="5" fontId="2" fillId="6" borderId="0" xfId="3" applyNumberFormat="1" applyFont="1" applyFill="1"/>
    <xf numFmtId="5" fontId="2" fillId="11" borderId="0" xfId="3" applyNumberFormat="1" applyFont="1" applyFill="1"/>
    <xf numFmtId="5" fontId="2" fillId="11" borderId="5" xfId="3" applyNumberFormat="1" applyFont="1" applyFill="1" applyBorder="1"/>
    <xf numFmtId="0" fontId="1" fillId="2" borderId="20" xfId="3" applyFill="1" applyBorder="1"/>
    <xf numFmtId="0" fontId="1" fillId="2" borderId="21" xfId="3" applyFill="1" applyBorder="1"/>
    <xf numFmtId="0" fontId="1" fillId="2" borderId="22" xfId="3" applyFill="1" applyBorder="1"/>
    <xf numFmtId="171" fontId="1" fillId="6" borderId="0" xfId="3" applyNumberFormat="1" applyFill="1"/>
    <xf numFmtId="171" fontId="1" fillId="8" borderId="0" xfId="3" applyNumberFormat="1" applyFill="1"/>
    <xf numFmtId="171" fontId="1" fillId="8" borderId="5" xfId="3" applyNumberFormat="1" applyFill="1" applyBorder="1"/>
    <xf numFmtId="0" fontId="10" fillId="2" borderId="0" xfId="3" applyFont="1" applyFill="1"/>
    <xf numFmtId="172" fontId="1" fillId="2" borderId="0" xfId="3" applyNumberFormat="1" applyFill="1"/>
    <xf numFmtId="172" fontId="1" fillId="2" borderId="5" xfId="3" applyNumberFormat="1" applyFill="1" applyBorder="1"/>
    <xf numFmtId="0" fontId="2" fillId="2" borderId="0" xfId="3" applyFont="1" applyFill="1"/>
    <xf numFmtId="171" fontId="2" fillId="6" borderId="0" xfId="3" applyNumberFormat="1" applyFont="1" applyFill="1"/>
    <xf numFmtId="171" fontId="2" fillId="11" borderId="0" xfId="3" applyNumberFormat="1" applyFont="1" applyFill="1"/>
    <xf numFmtId="171" fontId="2" fillId="11" borderId="5" xfId="3" applyNumberFormat="1" applyFont="1" applyFill="1" applyBorder="1"/>
    <xf numFmtId="172" fontId="1" fillId="6" borderId="0" xfId="3" applyNumberFormat="1" applyFill="1"/>
    <xf numFmtId="172" fontId="1" fillId="8" borderId="0" xfId="3" applyNumberFormat="1" applyFill="1"/>
    <xf numFmtId="172" fontId="1" fillId="8" borderId="5" xfId="3" applyNumberFormat="1" applyFill="1" applyBorder="1"/>
    <xf numFmtId="9" fontId="0" fillId="2" borderId="4" xfId="9" applyFont="1" applyFill="1" applyBorder="1"/>
    <xf numFmtId="9" fontId="0" fillId="2" borderId="0" xfId="9" applyFont="1" applyFill="1" applyBorder="1"/>
    <xf numFmtId="1" fontId="0" fillId="2" borderId="0" xfId="9" applyNumberFormat="1" applyFont="1" applyFill="1" applyBorder="1"/>
    <xf numFmtId="1" fontId="0" fillId="2" borderId="5" xfId="9" applyNumberFormat="1" applyFont="1" applyFill="1" applyBorder="1"/>
    <xf numFmtId="5" fontId="1" fillId="15" borderId="0" xfId="3" applyNumberFormat="1" applyFill="1"/>
    <xf numFmtId="5" fontId="1" fillId="15" borderId="5" xfId="3" applyNumberFormat="1" applyFill="1" applyBorder="1"/>
    <xf numFmtId="0" fontId="2" fillId="0" borderId="0" xfId="3" applyFont="1" applyFill="1" applyBorder="1"/>
    <xf numFmtId="0" fontId="2" fillId="3" borderId="39" xfId="3" applyFont="1" applyFill="1" applyBorder="1" applyProtection="1">
      <protection locked="0"/>
    </xf>
    <xf numFmtId="0" fontId="1" fillId="3" borderId="41" xfId="3" applyFill="1" applyBorder="1" applyProtection="1">
      <protection locked="0"/>
    </xf>
    <xf numFmtId="0" fontId="2" fillId="3" borderId="19" xfId="3" applyFont="1" applyFill="1" applyBorder="1" applyAlignment="1" applyProtection="1">
      <alignment horizontal="center"/>
      <protection locked="0"/>
    </xf>
    <xf numFmtId="0" fontId="2" fillId="3" borderId="26" xfId="3" applyFont="1" applyFill="1" applyBorder="1" applyAlignment="1" applyProtection="1">
      <alignment horizontal="center" vertical="center"/>
      <protection locked="0"/>
    </xf>
    <xf numFmtId="0" fontId="2" fillId="3" borderId="19" xfId="3" applyFont="1" applyFill="1" applyBorder="1" applyAlignment="1" applyProtection="1">
      <alignment horizontal="center" vertical="center"/>
      <protection locked="0"/>
    </xf>
    <xf numFmtId="0" fontId="2" fillId="3" borderId="42" xfId="3" applyFont="1" applyFill="1" applyBorder="1" applyAlignment="1" applyProtection="1">
      <alignment horizontal="center" vertical="center"/>
      <protection locked="0"/>
    </xf>
    <xf numFmtId="0" fontId="2" fillId="2" borderId="43" xfId="3" applyFont="1" applyFill="1" applyBorder="1" applyProtection="1">
      <protection locked="0"/>
    </xf>
    <xf numFmtId="0" fontId="1" fillId="2" borderId="28" xfId="3" applyFill="1" applyBorder="1" applyAlignment="1" applyProtection="1">
      <alignment horizontal="center"/>
      <protection locked="0"/>
    </xf>
    <xf numFmtId="0" fontId="1" fillId="2" borderId="0" xfId="3" applyFill="1" applyAlignment="1" applyProtection="1">
      <alignment horizontal="center"/>
      <protection locked="0"/>
    </xf>
    <xf numFmtId="0" fontId="1" fillId="2" borderId="5" xfId="3" applyFill="1" applyBorder="1" applyAlignment="1" applyProtection="1">
      <alignment horizontal="center"/>
      <protection locked="0"/>
    </xf>
    <xf numFmtId="0" fontId="2" fillId="2" borderId="4" xfId="3" applyFont="1" applyFill="1" applyBorder="1" applyProtection="1">
      <protection locked="0"/>
    </xf>
    <xf numFmtId="0" fontId="1" fillId="2" borderId="12" xfId="3" applyFill="1" applyBorder="1" applyProtection="1">
      <protection locked="0"/>
    </xf>
    <xf numFmtId="0" fontId="1" fillId="2" borderId="5" xfId="3" applyFill="1" applyBorder="1" applyProtection="1">
      <protection locked="0"/>
    </xf>
    <xf numFmtId="0" fontId="1" fillId="2" borderId="4" xfId="3" applyFill="1" applyBorder="1" applyProtection="1">
      <protection locked="0"/>
    </xf>
    <xf numFmtId="173" fontId="0" fillId="6" borderId="0" xfId="10" applyNumberFormat="1" applyFont="1" applyFill="1" applyBorder="1" applyProtection="1"/>
    <xf numFmtId="173" fontId="0" fillId="8" borderId="0" xfId="10" applyNumberFormat="1" applyFont="1" applyFill="1" applyBorder="1" applyProtection="1">
      <protection locked="0"/>
    </xf>
    <xf numFmtId="173" fontId="0" fillId="8" borderId="5" xfId="10" applyNumberFormat="1" applyFont="1" applyFill="1" applyBorder="1" applyProtection="1">
      <protection locked="0"/>
    </xf>
    <xf numFmtId="0" fontId="11" fillId="2" borderId="4" xfId="3" applyFont="1" applyFill="1" applyBorder="1" applyProtection="1">
      <protection locked="0"/>
    </xf>
    <xf numFmtId="173" fontId="0" fillId="2" borderId="0" xfId="10" applyNumberFormat="1" applyFont="1" applyFill="1" applyBorder="1" applyProtection="1"/>
    <xf numFmtId="173" fontId="0" fillId="2" borderId="0" xfId="10" applyNumberFormat="1" applyFont="1" applyFill="1" applyBorder="1" applyProtection="1">
      <protection locked="0"/>
    </xf>
    <xf numFmtId="173" fontId="0" fillId="2" borderId="5" xfId="10" applyNumberFormat="1" applyFont="1" applyFill="1" applyBorder="1" applyProtection="1">
      <protection locked="0"/>
    </xf>
    <xf numFmtId="173" fontId="0" fillId="16" borderId="25" xfId="10" applyNumberFormat="1" applyFont="1" applyFill="1" applyBorder="1" applyProtection="1"/>
    <xf numFmtId="173" fontId="0" fillId="16" borderId="25" xfId="10" applyNumberFormat="1" applyFont="1" applyFill="1" applyBorder="1" applyProtection="1">
      <protection locked="0"/>
    </xf>
    <xf numFmtId="173" fontId="0" fillId="16" borderId="44" xfId="10" applyNumberFormat="1" applyFont="1" applyFill="1" applyBorder="1" applyProtection="1">
      <protection locked="0"/>
    </xf>
    <xf numFmtId="173" fontId="1" fillId="2" borderId="0" xfId="3" applyNumberFormat="1" applyFill="1" applyProtection="1">
      <protection locked="0"/>
    </xf>
    <xf numFmtId="0" fontId="1" fillId="2" borderId="20" xfId="3" applyFill="1" applyBorder="1" applyProtection="1">
      <protection locked="0"/>
    </xf>
    <xf numFmtId="0" fontId="1" fillId="2" borderId="18" xfId="3" applyFill="1" applyBorder="1" applyProtection="1">
      <protection locked="0"/>
    </xf>
    <xf numFmtId="41" fontId="0" fillId="2" borderId="21" xfId="10" applyNumberFormat="1" applyFont="1" applyFill="1" applyBorder="1" applyProtection="1"/>
    <xf numFmtId="41" fontId="0" fillId="2" borderId="21" xfId="10" applyNumberFormat="1" applyFont="1" applyFill="1" applyBorder="1" applyProtection="1">
      <protection locked="0"/>
    </xf>
    <xf numFmtId="41" fontId="0" fillId="2" borderId="22" xfId="10" applyNumberFormat="1" applyFont="1" applyFill="1" applyBorder="1" applyProtection="1">
      <protection locked="0"/>
    </xf>
    <xf numFmtId="173" fontId="1" fillId="2" borderId="0" xfId="3" applyNumberFormat="1" applyFill="1"/>
    <xf numFmtId="1" fontId="1" fillId="2" borderId="0" xfId="3" applyNumberFormat="1" applyFill="1" applyProtection="1">
      <protection locked="0"/>
    </xf>
    <xf numFmtId="1" fontId="1" fillId="2" borderId="0" xfId="3" applyNumberFormat="1" applyFill="1"/>
    <xf numFmtId="1" fontId="1" fillId="0" borderId="0" xfId="3" applyNumberFormat="1"/>
    <xf numFmtId="0" fontId="0" fillId="0" borderId="0" xfId="0" applyFont="1"/>
    <xf numFmtId="14" fontId="0" fillId="0" borderId="0" xfId="0" applyNumberFormat="1"/>
    <xf numFmtId="164" fontId="0" fillId="0" borderId="0" xfId="1" applyNumberFormat="1" applyFont="1"/>
    <xf numFmtId="174" fontId="0" fillId="0" borderId="0" xfId="1" applyNumberFormat="1" applyFont="1"/>
    <xf numFmtId="43" fontId="0" fillId="0" borderId="0" xfId="0" applyNumberFormat="1"/>
    <xf numFmtId="1" fontId="0" fillId="2" borderId="0" xfId="0" applyNumberFormat="1" applyFill="1"/>
    <xf numFmtId="0" fontId="2" fillId="0" borderId="0" xfId="0" applyFont="1" applyAlignment="1">
      <alignment horizontal="right"/>
    </xf>
    <xf numFmtId="0" fontId="0" fillId="0" borderId="0" xfId="0" applyBorder="1"/>
    <xf numFmtId="1" fontId="0" fillId="0" borderId="0" xfId="0" applyNumberFormat="1" applyFont="1" applyBorder="1"/>
    <xf numFmtId="0" fontId="0" fillId="0" borderId="0" xfId="0" applyAlignment="1">
      <alignment horizontal="right"/>
    </xf>
    <xf numFmtId="0" fontId="1" fillId="0" borderId="0" xfId="3" applyBorder="1"/>
    <xf numFmtId="0" fontId="0" fillId="2" borderId="0" xfId="0" applyFont="1" applyFill="1"/>
    <xf numFmtId="0" fontId="2" fillId="2" borderId="0" xfId="0" applyFont="1" applyFill="1" applyAlignment="1">
      <alignment horizontal="center"/>
    </xf>
    <xf numFmtId="169" fontId="0" fillId="2" borderId="0" xfId="0" applyNumberFormat="1" applyFill="1"/>
    <xf numFmtId="0" fontId="2" fillId="0" borderId="0" xfId="0" applyFont="1" applyBorder="1"/>
    <xf numFmtId="0" fontId="2" fillId="2" borderId="0" xfId="0" applyFont="1" applyFill="1" applyAlignment="1">
      <alignment horizontal="right"/>
    </xf>
    <xf numFmtId="14" fontId="0" fillId="2" borderId="0" xfId="0" applyNumberFormat="1" applyFill="1" applyAlignment="1">
      <alignment horizontal="left"/>
    </xf>
    <xf numFmtId="0" fontId="0" fillId="2" borderId="0" xfId="0" applyFill="1" applyAlignment="1">
      <alignment horizontal="left"/>
    </xf>
    <xf numFmtId="17" fontId="0" fillId="2" borderId="0" xfId="0" applyNumberFormat="1" applyFill="1"/>
    <xf numFmtId="2" fontId="0" fillId="2" borderId="0" xfId="0" applyNumberFormat="1" applyFill="1"/>
    <xf numFmtId="14" fontId="0" fillId="2" borderId="0" xfId="0" applyNumberFormat="1" applyFill="1" applyAlignment="1">
      <alignment horizontal="right"/>
    </xf>
    <xf numFmtId="168" fontId="0" fillId="2" borderId="0" xfId="0" applyNumberFormat="1" applyFill="1"/>
    <xf numFmtId="170" fontId="0" fillId="2" borderId="0" xfId="0" applyNumberFormat="1" applyFill="1"/>
    <xf numFmtId="166" fontId="0" fillId="2" borderId="0" xfId="0" applyNumberFormat="1" applyFill="1"/>
    <xf numFmtId="0" fontId="2" fillId="0" borderId="0" xfId="0" applyFont="1" applyBorder="1" applyAlignment="1">
      <alignment horizontal="right"/>
    </xf>
    <xf numFmtId="0" fontId="2" fillId="0" borderId="0" xfId="0" applyFont="1" applyFill="1" applyBorder="1" applyAlignment="1">
      <alignment horizontal="right"/>
    </xf>
    <xf numFmtId="0" fontId="2" fillId="0" borderId="0" xfId="0" applyFont="1" applyBorder="1" applyAlignment="1">
      <alignment horizontal="left"/>
    </xf>
    <xf numFmtId="165" fontId="2" fillId="0" borderId="0" xfId="8" applyNumberFormat="1" applyFont="1"/>
    <xf numFmtId="165" fontId="0" fillId="2" borderId="0" xfId="8" applyNumberFormat="1" applyFont="1" applyFill="1"/>
    <xf numFmtId="0" fontId="14" fillId="0" borderId="0" xfId="0" applyFont="1"/>
    <xf numFmtId="0" fontId="2" fillId="0" borderId="0" xfId="0" applyFont="1" applyBorder="1" applyAlignment="1">
      <alignment horizontal="right" wrapText="1"/>
    </xf>
    <xf numFmtId="10" fontId="0" fillId="0" borderId="0" xfId="1" applyNumberFormat="1" applyFont="1" applyBorder="1"/>
    <xf numFmtId="2" fontId="0" fillId="0" borderId="0" xfId="0" applyNumberFormat="1" applyBorder="1"/>
    <xf numFmtId="9" fontId="0" fillId="0" borderId="0" xfId="1" applyFont="1" applyBorder="1"/>
    <xf numFmtId="169" fontId="0" fillId="0" borderId="0" xfId="0" applyNumberFormat="1"/>
    <xf numFmtId="0" fontId="8" fillId="17" borderId="0" xfId="0" applyFont="1" applyFill="1"/>
    <xf numFmtId="0" fontId="0" fillId="17" borderId="0" xfId="0" applyFill="1"/>
    <xf numFmtId="0" fontId="15" fillId="0" borderId="0" xfId="0" applyFont="1" applyAlignment="1">
      <alignment horizontal="right"/>
    </xf>
    <xf numFmtId="0" fontId="12" fillId="18" borderId="0" xfId="0" applyFont="1" applyFill="1"/>
    <xf numFmtId="0" fontId="15" fillId="0" borderId="0" xfId="0" applyFont="1"/>
    <xf numFmtId="43" fontId="0" fillId="0" borderId="0" xfId="8" applyFont="1"/>
    <xf numFmtId="165" fontId="0" fillId="2" borderId="0" xfId="8" applyNumberFormat="1" applyFont="1" applyFill="1" applyBorder="1"/>
    <xf numFmtId="0" fontId="2" fillId="0" borderId="14" xfId="0" applyFont="1" applyBorder="1" applyAlignment="1">
      <alignment horizontal="right"/>
    </xf>
    <xf numFmtId="165" fontId="2" fillId="13" borderId="0" xfId="8" applyNumberFormat="1" applyFont="1" applyFill="1" applyAlignment="1">
      <alignment horizontal="right"/>
    </xf>
    <xf numFmtId="165" fontId="2" fillId="14" borderId="0" xfId="8" applyNumberFormat="1" applyFont="1" applyFill="1" applyAlignment="1">
      <alignment horizontal="right"/>
    </xf>
    <xf numFmtId="0" fontId="0" fillId="2" borderId="0" xfId="0" applyFill="1" applyBorder="1"/>
    <xf numFmtId="0" fontId="15" fillId="2" borderId="0" xfId="0" applyFont="1" applyFill="1"/>
    <xf numFmtId="9" fontId="0" fillId="2" borderId="0" xfId="1" applyFont="1" applyFill="1"/>
    <xf numFmtId="164" fontId="0" fillId="0" borderId="0" xfId="0" applyNumberFormat="1"/>
    <xf numFmtId="174" fontId="0" fillId="2" borderId="0" xfId="1" applyNumberFormat="1" applyFont="1" applyFill="1"/>
    <xf numFmtId="175" fontId="0" fillId="0" borderId="0" xfId="0" applyNumberFormat="1"/>
    <xf numFmtId="165" fontId="2" fillId="19" borderId="0" xfId="8" applyNumberFormat="1" applyFont="1" applyFill="1" applyAlignment="1">
      <alignment horizontal="right"/>
    </xf>
    <xf numFmtId="165" fontId="0" fillId="19" borderId="0" xfId="8" applyNumberFormat="1" applyFont="1" applyFill="1"/>
    <xf numFmtId="165" fontId="2" fillId="19" borderId="0" xfId="8" applyNumberFormat="1" applyFont="1" applyFill="1"/>
    <xf numFmtId="165" fontId="0" fillId="19" borderId="14" xfId="8" applyNumberFormat="1" applyFont="1" applyFill="1" applyBorder="1"/>
    <xf numFmtId="0" fontId="2" fillId="19" borderId="0" xfId="0" applyFont="1" applyFill="1" applyAlignment="1">
      <alignment horizontal="right"/>
    </xf>
    <xf numFmtId="0" fontId="2" fillId="19" borderId="0" xfId="0" applyFont="1" applyFill="1" applyBorder="1" applyAlignment="1">
      <alignment horizontal="right"/>
    </xf>
    <xf numFmtId="165" fontId="0" fillId="19" borderId="0" xfId="0" applyNumberFormat="1" applyFill="1"/>
    <xf numFmtId="0" fontId="2" fillId="13" borderId="0" xfId="0" applyFont="1" applyFill="1" applyAlignment="1">
      <alignment horizontal="right"/>
    </xf>
    <xf numFmtId="165" fontId="0" fillId="13" borderId="0" xfId="0" applyNumberFormat="1" applyFill="1"/>
    <xf numFmtId="0" fontId="2" fillId="14" borderId="0" xfId="0" applyFont="1" applyFill="1" applyBorder="1" applyAlignment="1">
      <alignment horizontal="right"/>
    </xf>
    <xf numFmtId="0" fontId="2" fillId="14" borderId="0" xfId="0" applyFont="1" applyFill="1" applyAlignment="1">
      <alignment horizontal="right"/>
    </xf>
    <xf numFmtId="165" fontId="0" fillId="14" borderId="0" xfId="0" applyNumberFormat="1" applyFill="1"/>
    <xf numFmtId="0" fontId="2" fillId="14" borderId="14" xfId="0" applyFont="1" applyFill="1" applyBorder="1" applyAlignment="1">
      <alignment horizontal="right"/>
    </xf>
    <xf numFmtId="0" fontId="0" fillId="0" borderId="0" xfId="0"/>
    <xf numFmtId="0" fontId="0" fillId="2" borderId="0" xfId="0" applyFill="1"/>
    <xf numFmtId="3" fontId="0" fillId="0" borderId="0" xfId="0" applyNumberFormat="1"/>
    <xf numFmtId="9" fontId="0" fillId="2" borderId="0" xfId="0" applyNumberFormat="1" applyFill="1"/>
    <xf numFmtId="165" fontId="2" fillId="2" borderId="0" xfId="8" applyNumberFormat="1" applyFont="1" applyFill="1" applyAlignment="1">
      <alignment horizontal="right"/>
    </xf>
    <xf numFmtId="165" fontId="1" fillId="2" borderId="14" xfId="8" applyNumberFormat="1" applyFont="1" applyFill="1" applyBorder="1"/>
    <xf numFmtId="169" fontId="0" fillId="2" borderId="0" xfId="8" applyNumberFormat="1" applyFont="1" applyFill="1"/>
    <xf numFmtId="0" fontId="2" fillId="3" borderId="19" xfId="3" applyFont="1" applyFill="1" applyBorder="1" applyAlignment="1">
      <alignment horizontal="center"/>
    </xf>
    <xf numFmtId="9" fontId="0" fillId="0" borderId="0" xfId="1" applyNumberFormat="1" applyFont="1"/>
    <xf numFmtId="0" fontId="9" fillId="17" borderId="0" xfId="0" applyFont="1" applyFill="1"/>
    <xf numFmtId="165" fontId="2" fillId="0" borderId="0" xfId="0" applyNumberFormat="1" applyFont="1"/>
    <xf numFmtId="0" fontId="2" fillId="2" borderId="0" xfId="0" applyFont="1" applyFill="1" applyAlignment="1">
      <alignment horizontal="center"/>
    </xf>
    <xf numFmtId="165" fontId="0" fillId="0" borderId="0" xfId="0" applyNumberFormat="1" applyFont="1" applyAlignment="1">
      <alignment horizontal="right"/>
    </xf>
    <xf numFmtId="0" fontId="2" fillId="3" borderId="39" xfId="3" applyFont="1" applyFill="1" applyBorder="1"/>
    <xf numFmtId="0" fontId="1" fillId="3" borderId="41" xfId="3" applyFill="1" applyBorder="1"/>
    <xf numFmtId="0" fontId="2" fillId="3" borderId="19" xfId="3" applyFont="1" applyFill="1" applyBorder="1" applyAlignment="1">
      <alignment horizontal="center" vertical="center"/>
    </xf>
    <xf numFmtId="0" fontId="2" fillId="3" borderId="61" xfId="3" applyFont="1" applyFill="1" applyBorder="1" applyAlignment="1">
      <alignment horizontal="center" vertical="center"/>
    </xf>
    <xf numFmtId="0" fontId="2" fillId="2" borderId="43" xfId="3" applyFont="1" applyFill="1" applyBorder="1"/>
    <xf numFmtId="0" fontId="1" fillId="2" borderId="28" xfId="3" applyFill="1" applyBorder="1" applyAlignment="1">
      <alignment horizontal="center"/>
    </xf>
    <xf numFmtId="0" fontId="1" fillId="2" borderId="0" xfId="3" applyFill="1" applyAlignment="1">
      <alignment horizontal="center"/>
    </xf>
    <xf numFmtId="0" fontId="1" fillId="2" borderId="5" xfId="3" applyFill="1" applyBorder="1" applyAlignment="1">
      <alignment horizontal="center"/>
    </xf>
    <xf numFmtId="173" fontId="0" fillId="6" borderId="0" xfId="10" applyNumberFormat="1" applyFont="1" applyFill="1" applyBorder="1"/>
    <xf numFmtId="173" fontId="0" fillId="8" borderId="0" xfId="10" applyNumberFormat="1" applyFont="1" applyFill="1" applyBorder="1"/>
    <xf numFmtId="173" fontId="0" fillId="8" borderId="5" xfId="10" applyNumberFormat="1" applyFont="1" applyFill="1" applyBorder="1"/>
    <xf numFmtId="173" fontId="0" fillId="2" borderId="0" xfId="10" applyNumberFormat="1" applyFont="1" applyFill="1" applyBorder="1"/>
    <xf numFmtId="173" fontId="0" fillId="2" borderId="5" xfId="10" applyNumberFormat="1" applyFont="1" applyFill="1" applyBorder="1"/>
    <xf numFmtId="173" fontId="0" fillId="16" borderId="25" xfId="10" applyNumberFormat="1" applyFont="1" applyFill="1" applyBorder="1"/>
    <xf numFmtId="173" fontId="0" fillId="16" borderId="44" xfId="10" applyNumberFormat="1" applyFont="1" applyFill="1" applyBorder="1"/>
    <xf numFmtId="0" fontId="1" fillId="2" borderId="18" xfId="3" applyFill="1" applyBorder="1"/>
    <xf numFmtId="41" fontId="0" fillId="2" borderId="21" xfId="10" applyNumberFormat="1" applyFont="1" applyFill="1" applyBorder="1"/>
    <xf numFmtId="41" fontId="0" fillId="2" borderId="22" xfId="10" applyNumberFormat="1" applyFont="1" applyFill="1" applyBorder="1"/>
    <xf numFmtId="0" fontId="8" fillId="0" borderId="0" xfId="0" applyFont="1"/>
    <xf numFmtId="165" fontId="0" fillId="0" borderId="0" xfId="0" applyNumberFormat="1" applyFont="1"/>
    <xf numFmtId="0" fontId="0" fillId="2" borderId="0" xfId="0" applyFont="1" applyFill="1" applyAlignment="1">
      <alignment horizontal="right"/>
    </xf>
    <xf numFmtId="9" fontId="0" fillId="2" borderId="0" xfId="1" applyFont="1" applyFill="1" applyAlignment="1">
      <alignment horizontal="right"/>
    </xf>
    <xf numFmtId="9" fontId="0" fillId="65" borderId="0" xfId="1" applyFont="1" applyFill="1" applyAlignment="1">
      <alignment horizontal="right"/>
    </xf>
    <xf numFmtId="169" fontId="0" fillId="0" borderId="0" xfId="8" applyNumberFormat="1" applyFont="1"/>
    <xf numFmtId="0" fontId="1" fillId="0" borderId="0" xfId="3" applyFont="1" applyFill="1" applyBorder="1"/>
    <xf numFmtId="169" fontId="2" fillId="0" borderId="0" xfId="8" applyNumberFormat="1" applyFont="1"/>
    <xf numFmtId="169" fontId="1" fillId="0" borderId="0" xfId="8" applyNumberFormat="1" applyFont="1"/>
    <xf numFmtId="165" fontId="0" fillId="2" borderId="0" xfId="0" applyNumberFormat="1" applyFill="1"/>
    <xf numFmtId="9" fontId="2" fillId="2" borderId="0" xfId="1" applyFont="1" applyFill="1" applyBorder="1"/>
    <xf numFmtId="9" fontId="0" fillId="2" borderId="0" xfId="1" applyFont="1" applyFill="1" applyBorder="1"/>
    <xf numFmtId="0" fontId="2" fillId="2" borderId="0" xfId="0" applyFont="1" applyFill="1" applyBorder="1" applyAlignment="1">
      <alignment horizontal="right"/>
    </xf>
    <xf numFmtId="10" fontId="0" fillId="2" borderId="0" xfId="1" applyNumberFormat="1" applyFont="1" applyFill="1" applyBorder="1"/>
    <xf numFmtId="187" fontId="0" fillId="2" borderId="0" xfId="10" applyNumberFormat="1" applyFont="1" applyFill="1" applyBorder="1" applyProtection="1">
      <protection locked="0"/>
    </xf>
    <xf numFmtId="0" fontId="9" fillId="0" borderId="0" xfId="0" applyFont="1"/>
    <xf numFmtId="0" fontId="0" fillId="0" borderId="0" xfId="0" applyAlignment="1">
      <alignment vertical="center" wrapText="1"/>
    </xf>
    <xf numFmtId="0" fontId="75" fillId="0" borderId="0" xfId="0" applyFont="1" applyBorder="1"/>
    <xf numFmtId="0" fontId="75" fillId="0" borderId="0" xfId="0" applyFont="1" applyBorder="1" applyAlignment="1">
      <alignment horizontal="left"/>
    </xf>
    <xf numFmtId="0" fontId="74" fillId="64" borderId="0" xfId="0" applyFont="1" applyFill="1" applyBorder="1" applyAlignment="1">
      <alignment vertical="center" wrapText="1"/>
    </xf>
    <xf numFmtId="0" fontId="0" fillId="64" borderId="0" xfId="0" applyFill="1" applyBorder="1" applyAlignment="1">
      <alignment vertical="center" wrapText="1"/>
    </xf>
    <xf numFmtId="0" fontId="0" fillId="61" borderId="0" xfId="0" applyFill="1" applyBorder="1" applyAlignment="1">
      <alignment vertical="center" wrapText="1"/>
    </xf>
    <xf numFmtId="0" fontId="76" fillId="61" borderId="0" xfId="326" applyFill="1" applyBorder="1" applyAlignment="1">
      <alignment vertical="center" wrapText="1"/>
    </xf>
    <xf numFmtId="0" fontId="2" fillId="61" borderId="0" xfId="0" applyFont="1" applyFill="1" applyBorder="1" applyAlignment="1">
      <alignment vertical="center" wrapText="1"/>
    </xf>
    <xf numFmtId="0" fontId="74" fillId="66" borderId="0" xfId="0" applyFont="1" applyFill="1" applyBorder="1" applyAlignment="1">
      <alignment vertical="center" wrapText="1"/>
    </xf>
    <xf numFmtId="0" fontId="0" fillId="66" borderId="0" xfId="0" applyFill="1" applyBorder="1" applyAlignment="1">
      <alignment vertical="center" wrapText="1"/>
    </xf>
    <xf numFmtId="0" fontId="2" fillId="63" borderId="0" xfId="0" applyFont="1" applyFill="1" applyBorder="1" applyAlignment="1">
      <alignment vertical="center" wrapText="1"/>
    </xf>
    <xf numFmtId="0" fontId="76" fillId="63" borderId="0" xfId="326" applyFill="1" applyBorder="1" applyAlignment="1">
      <alignment vertical="center" wrapText="1"/>
    </xf>
    <xf numFmtId="0" fontId="0" fillId="63" borderId="0" xfId="0" applyFill="1" applyBorder="1" applyAlignment="1">
      <alignment vertical="center" wrapText="1"/>
    </xf>
    <xf numFmtId="0" fontId="74" fillId="67" borderId="0" xfId="0" applyFont="1" applyFill="1" applyBorder="1" applyAlignment="1">
      <alignment vertical="center" wrapText="1"/>
    </xf>
    <xf numFmtId="0" fontId="0" fillId="67" borderId="0" xfId="0" applyFill="1" applyBorder="1" applyAlignment="1">
      <alignment vertical="center" wrapText="1"/>
    </xf>
    <xf numFmtId="0" fontId="0" fillId="17" borderId="0" xfId="0" applyFill="1" applyBorder="1" applyAlignment="1">
      <alignment vertical="center" wrapText="1"/>
    </xf>
    <xf numFmtId="0" fontId="76" fillId="17" borderId="0" xfId="326" applyFill="1" applyBorder="1" applyAlignment="1">
      <alignment vertical="center" wrapText="1"/>
    </xf>
    <xf numFmtId="0" fontId="77" fillId="71" borderId="0" xfId="0" applyFont="1" applyFill="1" applyBorder="1" applyAlignment="1">
      <alignment vertical="center" wrapText="1"/>
    </xf>
    <xf numFmtId="0" fontId="76" fillId="71" borderId="0" xfId="326" applyFill="1" applyBorder="1" applyAlignment="1">
      <alignment vertical="center" wrapText="1"/>
    </xf>
    <xf numFmtId="0" fontId="0" fillId="71" borderId="0" xfId="0" applyFill="1" applyBorder="1" applyAlignment="1">
      <alignment vertical="center" wrapText="1"/>
    </xf>
    <xf numFmtId="0" fontId="0" fillId="72" borderId="0" xfId="0" applyFill="1" applyBorder="1" applyAlignment="1">
      <alignment vertical="center" wrapText="1"/>
    </xf>
    <xf numFmtId="0" fontId="76" fillId="72" borderId="0" xfId="326" applyFill="1" applyBorder="1" applyAlignment="1">
      <alignment vertical="center" wrapText="1"/>
    </xf>
    <xf numFmtId="0" fontId="2" fillId="68" borderId="0" xfId="0" applyFont="1" applyFill="1" applyBorder="1" applyAlignment="1">
      <alignment vertical="center" wrapText="1"/>
    </xf>
    <xf numFmtId="0" fontId="0" fillId="68" borderId="0" xfId="0" applyFill="1" applyBorder="1" applyAlignment="1">
      <alignment vertical="center" wrapText="1"/>
    </xf>
    <xf numFmtId="0" fontId="0" fillId="62" borderId="0" xfId="0" applyFill="1" applyBorder="1" applyAlignment="1">
      <alignment vertical="center" wrapText="1"/>
    </xf>
    <xf numFmtId="0" fontId="76" fillId="62" borderId="0" xfId="326" applyFill="1" applyBorder="1" applyAlignment="1">
      <alignment vertical="center" wrapText="1"/>
    </xf>
    <xf numFmtId="0" fontId="2" fillId="69" borderId="0" xfId="0" applyFont="1" applyFill="1" applyBorder="1" applyAlignment="1">
      <alignment vertical="center"/>
    </xf>
    <xf numFmtId="0" fontId="0" fillId="69" borderId="0" xfId="0" applyFill="1" applyBorder="1" applyAlignment="1">
      <alignment vertical="center"/>
    </xf>
    <xf numFmtId="0" fontId="0" fillId="70" borderId="0" xfId="0" applyFill="1" applyBorder="1" applyAlignment="1">
      <alignment vertical="center"/>
    </xf>
    <xf numFmtId="0" fontId="76" fillId="70" borderId="0" xfId="326" applyFill="1" applyBorder="1" applyAlignment="1">
      <alignment vertical="center"/>
    </xf>
    <xf numFmtId="0" fontId="6" fillId="17" borderId="0" xfId="0" applyFont="1" applyFill="1"/>
    <xf numFmtId="166" fontId="0" fillId="0" borderId="0" xfId="0" applyNumberFormat="1"/>
    <xf numFmtId="0" fontId="0" fillId="0" borderId="0" xfId="0" applyFill="1" applyBorder="1"/>
    <xf numFmtId="9" fontId="2" fillId="0" borderId="0" xfId="0" applyNumberFormat="1" applyFont="1"/>
    <xf numFmtId="2" fontId="0" fillId="0" borderId="0" xfId="0" applyNumberFormat="1" applyBorder="1" applyAlignment="1">
      <alignment horizontal="right"/>
    </xf>
    <xf numFmtId="0" fontId="2" fillId="0" borderId="0" xfId="0" applyFont="1" applyAlignment="1">
      <alignment horizontal="left" wrapText="1"/>
    </xf>
    <xf numFmtId="0" fontId="0" fillId="65" borderId="0" xfId="0" applyFill="1"/>
    <xf numFmtId="188" fontId="0" fillId="0" borderId="0" xfId="0" applyNumberFormat="1"/>
    <xf numFmtId="189" fontId="0" fillId="0" borderId="0" xfId="0" applyNumberFormat="1"/>
    <xf numFmtId="0" fontId="2" fillId="0" borderId="0" xfId="0" applyFont="1" applyAlignment="1">
      <alignment horizontal="left"/>
    </xf>
    <xf numFmtId="165" fontId="0" fillId="65" borderId="0" xfId="8" applyNumberFormat="1" applyFont="1" applyFill="1"/>
    <xf numFmtId="165" fontId="0" fillId="65" borderId="0" xfId="0" applyNumberFormat="1" applyFill="1"/>
    <xf numFmtId="0" fontId="11" fillId="0" borderId="0" xfId="0" applyFont="1"/>
    <xf numFmtId="10" fontId="0" fillId="2" borderId="0" xfId="0" applyNumberFormat="1" applyFill="1"/>
    <xf numFmtId="165" fontId="2" fillId="2" borderId="0" xfId="0" applyNumberFormat="1" applyFont="1" applyFill="1"/>
    <xf numFmtId="190" fontId="2" fillId="0" borderId="0" xfId="1" applyNumberFormat="1" applyFont="1"/>
    <xf numFmtId="191" fontId="0" fillId="0" borderId="0" xfId="8" applyNumberFormat="1" applyFont="1"/>
    <xf numFmtId="164" fontId="0" fillId="2" borderId="0" xfId="1" applyNumberFormat="1" applyFont="1" applyFill="1" applyAlignment="1">
      <alignment horizontal="right"/>
    </xf>
    <xf numFmtId="10" fontId="0" fillId="2" borderId="0" xfId="1" applyNumberFormat="1" applyFont="1" applyFill="1"/>
    <xf numFmtId="0" fontId="2" fillId="0" borderId="0" xfId="0" applyFont="1" applyAlignment="1">
      <alignment horizontal="right" wrapText="1"/>
    </xf>
    <xf numFmtId="0" fontId="0" fillId="14" borderId="0" xfId="0" applyFill="1"/>
    <xf numFmtId="0" fontId="0" fillId="73" borderId="0" xfId="0" applyFill="1"/>
    <xf numFmtId="43" fontId="0" fillId="2" borderId="0" xfId="0" applyNumberFormat="1" applyFill="1"/>
    <xf numFmtId="0" fontId="0" fillId="19" borderId="0" xfId="0" applyFill="1"/>
    <xf numFmtId="0" fontId="0" fillId="72" borderId="0" xfId="0" applyFill="1"/>
    <xf numFmtId="0" fontId="0" fillId="62" borderId="0" xfId="0" applyFill="1"/>
    <xf numFmtId="0" fontId="2" fillId="74" borderId="0" xfId="0" applyFont="1" applyFill="1" applyAlignment="1">
      <alignment horizontal="right"/>
    </xf>
    <xf numFmtId="0" fontId="2" fillId="74" borderId="0" xfId="0" applyFont="1" applyFill="1"/>
    <xf numFmtId="0" fontId="0" fillId="74" borderId="0" xfId="0" applyFill="1"/>
    <xf numFmtId="0" fontId="15" fillId="74" borderId="0" xfId="0" applyFont="1" applyFill="1" applyAlignment="1">
      <alignment horizontal="right"/>
    </xf>
    <xf numFmtId="14" fontId="2" fillId="74" borderId="0" xfId="0" applyNumberFormat="1" applyFont="1" applyFill="1" applyAlignment="1">
      <alignment horizontal="right"/>
    </xf>
    <xf numFmtId="1" fontId="0" fillId="74" borderId="0" xfId="0" applyNumberFormat="1" applyFill="1"/>
    <xf numFmtId="0" fontId="78" fillId="74" borderId="0" xfId="0" applyFont="1" applyFill="1"/>
    <xf numFmtId="0" fontId="0" fillId="74" borderId="0" xfId="0" applyFont="1" applyFill="1"/>
    <xf numFmtId="0" fontId="2" fillId="74" borderId="0" xfId="0" applyFont="1" applyFill="1" applyBorder="1" applyAlignment="1">
      <alignment horizontal="right"/>
    </xf>
    <xf numFmtId="14" fontId="2" fillId="74" borderId="0" xfId="0" applyNumberFormat="1" applyFont="1" applyFill="1" applyAlignment="1">
      <alignment horizontal="center"/>
    </xf>
    <xf numFmtId="14" fontId="2" fillId="74" borderId="0" xfId="0" applyNumberFormat="1" applyFont="1" applyFill="1"/>
    <xf numFmtId="14" fontId="0" fillId="74" borderId="0" xfId="0" applyNumberFormat="1" applyFill="1"/>
    <xf numFmtId="14" fontId="0" fillId="74" borderId="0" xfId="0" applyNumberFormat="1" applyFill="1" applyAlignment="1">
      <alignment horizontal="right"/>
    </xf>
    <xf numFmtId="168" fontId="0" fillId="74" borderId="0" xfId="0" applyNumberFormat="1" applyFill="1" applyAlignment="1">
      <alignment horizontal="center"/>
    </xf>
    <xf numFmtId="168" fontId="0" fillId="74" borderId="0" xfId="0" applyNumberFormat="1" applyFill="1"/>
    <xf numFmtId="170" fontId="0" fillId="74" borderId="0" xfId="0" applyNumberFormat="1" applyFill="1"/>
    <xf numFmtId="0" fontId="8" fillId="74" borderId="0" xfId="0" applyFont="1" applyFill="1"/>
    <xf numFmtId="169" fontId="0" fillId="74" borderId="0" xfId="0" applyNumberFormat="1" applyFill="1"/>
    <xf numFmtId="14" fontId="0" fillId="74" borderId="0" xfId="0" applyNumberFormat="1" applyFill="1" applyAlignment="1">
      <alignment horizontal="center"/>
    </xf>
    <xf numFmtId="15" fontId="2" fillId="74" borderId="0" xfId="0" applyNumberFormat="1" applyFont="1" applyFill="1" applyAlignment="1">
      <alignment horizontal="center" wrapText="1"/>
    </xf>
    <xf numFmtId="0" fontId="0" fillId="74" borderId="0" xfId="0" applyFill="1" applyAlignment="1">
      <alignment horizontal="center"/>
    </xf>
    <xf numFmtId="0" fontId="12" fillId="74" borderId="0" xfId="0" applyFont="1" applyFill="1"/>
    <xf numFmtId="0" fontId="2" fillId="74" borderId="0" xfId="0" applyFont="1" applyFill="1" applyBorder="1"/>
    <xf numFmtId="0" fontId="2" fillId="3" borderId="35" xfId="3" applyFont="1" applyFill="1" applyBorder="1" applyAlignment="1">
      <alignment horizontal="center" vertical="center" wrapText="1"/>
    </xf>
    <xf numFmtId="0" fontId="2" fillId="3" borderId="33" xfId="3" applyFont="1" applyFill="1" applyBorder="1" applyAlignment="1">
      <alignment horizontal="center" vertical="center" wrapText="1"/>
    </xf>
    <xf numFmtId="0" fontId="2" fillId="3" borderId="36" xfId="3" applyFont="1" applyFill="1" applyBorder="1" applyAlignment="1">
      <alignment horizontal="center" vertical="center" wrapText="1"/>
    </xf>
    <xf numFmtId="0" fontId="2" fillId="3" borderId="40" xfId="3" applyFont="1" applyFill="1" applyBorder="1" applyAlignment="1">
      <alignment horizontal="center" vertical="center" wrapText="1"/>
    </xf>
    <xf numFmtId="0" fontId="1" fillId="3" borderId="12" xfId="3" applyFill="1" applyBorder="1" applyAlignment="1">
      <alignment horizontal="center" vertical="center" wrapText="1"/>
    </xf>
    <xf numFmtId="0" fontId="2" fillId="3" borderId="34" xfId="3" applyFont="1" applyFill="1" applyBorder="1" applyAlignment="1">
      <alignment horizontal="center" vertical="center" wrapText="1"/>
    </xf>
    <xf numFmtId="0" fontId="2" fillId="3" borderId="35" xfId="3" applyFont="1" applyFill="1" applyBorder="1" applyAlignment="1" applyProtection="1">
      <alignment horizontal="center" vertical="center" wrapText="1"/>
      <protection locked="0"/>
    </xf>
    <xf numFmtId="0" fontId="2" fillId="3" borderId="33" xfId="3" applyFont="1" applyFill="1" applyBorder="1" applyAlignment="1" applyProtection="1">
      <alignment horizontal="center" vertical="center" wrapText="1"/>
      <protection locked="0"/>
    </xf>
    <xf numFmtId="0" fontId="2" fillId="3" borderId="36" xfId="3" applyFont="1" applyFill="1" applyBorder="1" applyAlignment="1" applyProtection="1">
      <alignment horizontal="center" vertical="center" wrapText="1"/>
      <protection locked="0"/>
    </xf>
    <xf numFmtId="0" fontId="2" fillId="3" borderId="40" xfId="3" applyFont="1" applyFill="1" applyBorder="1" applyAlignment="1" applyProtection="1">
      <alignment horizontal="center" vertical="center" wrapText="1"/>
      <protection locked="0"/>
    </xf>
    <xf numFmtId="0" fontId="1" fillId="3" borderId="12" xfId="3" applyFill="1" applyBorder="1" applyAlignment="1" applyProtection="1">
      <alignment horizontal="center" vertical="center" wrapText="1"/>
      <protection locked="0"/>
    </xf>
    <xf numFmtId="0" fontId="2" fillId="3" borderId="34" xfId="3" applyFont="1" applyFill="1" applyBorder="1" applyAlignment="1" applyProtection="1">
      <alignment horizontal="center" vertical="center" wrapText="1"/>
      <protection locked="0"/>
    </xf>
    <xf numFmtId="0" fontId="2" fillId="13" borderId="0" xfId="0" applyFont="1" applyFill="1" applyAlignment="1">
      <alignment horizontal="center"/>
    </xf>
    <xf numFmtId="0" fontId="2" fillId="14" borderId="0" xfId="0" applyFont="1" applyFill="1" applyAlignment="1">
      <alignment horizontal="center"/>
    </xf>
    <xf numFmtId="0" fontId="2" fillId="19" borderId="0" xfId="0" applyFont="1" applyFill="1" applyAlignment="1">
      <alignment horizontal="center"/>
    </xf>
    <xf numFmtId="0" fontId="2" fillId="2" borderId="0" xfId="0" applyFont="1" applyFill="1" applyAlignment="1">
      <alignment horizontal="center"/>
    </xf>
    <xf numFmtId="0" fontId="2" fillId="3" borderId="32" xfId="3" applyFont="1" applyFill="1" applyBorder="1" applyAlignment="1">
      <alignment horizontal="center" vertical="center" wrapText="1"/>
    </xf>
    <xf numFmtId="0" fontId="2" fillId="3" borderId="37" xfId="3" applyFont="1" applyFill="1" applyBorder="1" applyAlignment="1">
      <alignment horizontal="center" vertical="center" wrapText="1"/>
    </xf>
    <xf numFmtId="0" fontId="1" fillId="0" borderId="12" xfId="3" applyBorder="1" applyAlignment="1">
      <alignment horizontal="left" vertical="top" wrapText="1"/>
    </xf>
    <xf numFmtId="0" fontId="1" fillId="0" borderId="18" xfId="3" applyBorder="1" applyAlignment="1">
      <alignment horizontal="left" vertical="top" wrapText="1"/>
    </xf>
    <xf numFmtId="0" fontId="8" fillId="3" borderId="19" xfId="3" applyFont="1" applyFill="1" applyBorder="1" applyAlignment="1">
      <alignment horizontal="center" vertical="center" wrapText="1"/>
    </xf>
    <xf numFmtId="0" fontId="8" fillId="3" borderId="28" xfId="3" applyFont="1" applyFill="1" applyBorder="1" applyAlignment="1">
      <alignment horizontal="center" vertical="center" wrapText="1"/>
    </xf>
    <xf numFmtId="0" fontId="2" fillId="3" borderId="24" xfId="3" applyFont="1" applyFill="1" applyBorder="1" applyAlignment="1">
      <alignment horizontal="center"/>
    </xf>
    <xf numFmtId="0" fontId="2" fillId="3" borderId="25" xfId="3" applyFont="1" applyFill="1" applyBorder="1" applyAlignment="1">
      <alignment horizontal="center"/>
    </xf>
    <xf numFmtId="0" fontId="2" fillId="3" borderId="26" xfId="3" applyFont="1" applyFill="1" applyBorder="1" applyAlignment="1">
      <alignment horizontal="center"/>
    </xf>
    <xf numFmtId="0" fontId="2" fillId="3" borderId="27" xfId="3" applyFont="1" applyFill="1" applyBorder="1" applyAlignment="1">
      <alignment horizontal="center"/>
    </xf>
    <xf numFmtId="0" fontId="2" fillId="2" borderId="28" xfId="3" applyFont="1" applyFill="1" applyBorder="1" applyAlignment="1">
      <alignment horizontal="left" vertical="top" wrapText="1"/>
    </xf>
    <xf numFmtId="0" fontId="2" fillId="2" borderId="12" xfId="3" applyFont="1" applyFill="1" applyBorder="1" applyAlignment="1">
      <alignment horizontal="left" vertical="top" wrapText="1"/>
    </xf>
    <xf numFmtId="0" fontId="2" fillId="2" borderId="18" xfId="3" applyFont="1" applyFill="1" applyBorder="1" applyAlignment="1">
      <alignment horizontal="left" vertical="top" wrapText="1"/>
    </xf>
    <xf numFmtId="0" fontId="2" fillId="3" borderId="19" xfId="3" applyFont="1" applyFill="1" applyBorder="1" applyAlignment="1">
      <alignment horizontal="center"/>
    </xf>
  </cellXfs>
  <cellStyles count="327">
    <cellStyle name="%" xfId="11" xr:uid="{00000000-0005-0000-0000-000000000000}"/>
    <cellStyle name="% 2" xfId="12" xr:uid="{00000000-0005-0000-0000-000001000000}"/>
    <cellStyle name="%_PEF FSBR2011" xfId="13" xr:uid="{00000000-0005-0000-0000-000002000000}"/>
    <cellStyle name="]_x000d__x000a_Zoomed=1_x000d__x000a_Row=0_x000d__x000a_Column=0_x000d__x000a_Height=0_x000d__x000a_Width=0_x000d__x000a_FontName=FoxFont_x000d__x000a_FontStyle=0_x000d__x000a_FontSize=9_x000d__x000a_PrtFontName=FoxPrin" xfId="14" xr:uid="{00000000-0005-0000-0000-000003000000}"/>
    <cellStyle name="_TableHead" xfId="15" xr:uid="{00000000-0005-0000-0000-000004000000}"/>
    <cellStyle name="1dp" xfId="16" xr:uid="{00000000-0005-0000-0000-000005000000}"/>
    <cellStyle name="1dp 2" xfId="17" xr:uid="{00000000-0005-0000-0000-000006000000}"/>
    <cellStyle name="20% - Accent1 2" xfId="18" xr:uid="{00000000-0005-0000-0000-000007000000}"/>
    <cellStyle name="20% - Accent2 2" xfId="19" xr:uid="{00000000-0005-0000-0000-000008000000}"/>
    <cellStyle name="20% - Accent3 2" xfId="20" xr:uid="{00000000-0005-0000-0000-000009000000}"/>
    <cellStyle name="20% - Accent4 2" xfId="21" xr:uid="{00000000-0005-0000-0000-00000A000000}"/>
    <cellStyle name="20% - Accent5 2" xfId="22" xr:uid="{00000000-0005-0000-0000-00000B000000}"/>
    <cellStyle name="20% - Accent6 2" xfId="23" xr:uid="{00000000-0005-0000-0000-00000C000000}"/>
    <cellStyle name="3dp" xfId="24" xr:uid="{00000000-0005-0000-0000-00000D000000}"/>
    <cellStyle name="3dp 2" xfId="25" xr:uid="{00000000-0005-0000-0000-00000E000000}"/>
    <cellStyle name="40% - Accent1 2" xfId="26" xr:uid="{00000000-0005-0000-0000-00000F000000}"/>
    <cellStyle name="40% - Accent2 2" xfId="27" xr:uid="{00000000-0005-0000-0000-000010000000}"/>
    <cellStyle name="40% - Accent3 2" xfId="28" xr:uid="{00000000-0005-0000-0000-000011000000}"/>
    <cellStyle name="40% - Accent4 2" xfId="29" xr:uid="{00000000-0005-0000-0000-000012000000}"/>
    <cellStyle name="40% - Accent5 2" xfId="30" xr:uid="{00000000-0005-0000-0000-000013000000}"/>
    <cellStyle name="40% - Accent6 2" xfId="31" xr:uid="{00000000-0005-0000-0000-000014000000}"/>
    <cellStyle name="4dp" xfId="32" xr:uid="{00000000-0005-0000-0000-000015000000}"/>
    <cellStyle name="4dp 2" xfId="33" xr:uid="{00000000-0005-0000-0000-000016000000}"/>
    <cellStyle name="60% - Accent1 2" xfId="34" xr:uid="{00000000-0005-0000-0000-000017000000}"/>
    <cellStyle name="60% - Accent2 2" xfId="35" xr:uid="{00000000-0005-0000-0000-000018000000}"/>
    <cellStyle name="60% - Accent3 2" xfId="36" xr:uid="{00000000-0005-0000-0000-000019000000}"/>
    <cellStyle name="60% - Accent4 2" xfId="37" xr:uid="{00000000-0005-0000-0000-00001A000000}"/>
    <cellStyle name="60% - Accent5 2" xfId="38" xr:uid="{00000000-0005-0000-0000-00001B000000}"/>
    <cellStyle name="60% - Accent6 2" xfId="39" xr:uid="{00000000-0005-0000-0000-00001C000000}"/>
    <cellStyle name="Accent1 2" xfId="40" xr:uid="{00000000-0005-0000-0000-00001D000000}"/>
    <cellStyle name="Accent2 2" xfId="41" xr:uid="{00000000-0005-0000-0000-00001E000000}"/>
    <cellStyle name="Accent3 2" xfId="42" xr:uid="{00000000-0005-0000-0000-00001F000000}"/>
    <cellStyle name="Accent4 2" xfId="43" xr:uid="{00000000-0005-0000-0000-000020000000}"/>
    <cellStyle name="Accent5 2" xfId="44" xr:uid="{00000000-0005-0000-0000-000021000000}"/>
    <cellStyle name="Accent6 2" xfId="45" xr:uid="{00000000-0005-0000-0000-000022000000}"/>
    <cellStyle name="Bad 2" xfId="46" xr:uid="{00000000-0005-0000-0000-000023000000}"/>
    <cellStyle name="Bid £m format" xfId="47" xr:uid="{00000000-0005-0000-0000-000024000000}"/>
    <cellStyle name="Calculation 2" xfId="48" xr:uid="{00000000-0005-0000-0000-000025000000}"/>
    <cellStyle name="Check Cell 2" xfId="49" xr:uid="{00000000-0005-0000-0000-000026000000}"/>
    <cellStyle name="CIL" xfId="50" xr:uid="{00000000-0005-0000-0000-000027000000}"/>
    <cellStyle name="CIU" xfId="51" xr:uid="{00000000-0005-0000-0000-000028000000}"/>
    <cellStyle name="Comma" xfId="8" builtinId="3"/>
    <cellStyle name="Comma 2" xfId="7" xr:uid="{00000000-0005-0000-0000-00002A000000}"/>
    <cellStyle name="Comma 2 2" xfId="53" xr:uid="{00000000-0005-0000-0000-00002B000000}"/>
    <cellStyle name="Comma 2 3" xfId="320" xr:uid="{00000000-0005-0000-0000-00002C000000}"/>
    <cellStyle name="Comma 2 4" xfId="52" xr:uid="{00000000-0005-0000-0000-00002D000000}"/>
    <cellStyle name="Comma 3" xfId="54" xr:uid="{00000000-0005-0000-0000-00002E000000}"/>
    <cellStyle name="Comma 3 2" xfId="55" xr:uid="{00000000-0005-0000-0000-00002F000000}"/>
    <cellStyle name="Comma 3 2 2" xfId="56" xr:uid="{00000000-0005-0000-0000-000030000000}"/>
    <cellStyle name="Comma 3 2 3" xfId="322" xr:uid="{00000000-0005-0000-0000-000031000000}"/>
    <cellStyle name="Comma 3 3" xfId="57" xr:uid="{00000000-0005-0000-0000-000032000000}"/>
    <cellStyle name="Comma 3 4" xfId="321" xr:uid="{00000000-0005-0000-0000-000033000000}"/>
    <cellStyle name="Comma 4" xfId="58" xr:uid="{00000000-0005-0000-0000-000034000000}"/>
    <cellStyle name="Comma 4 2" xfId="59" xr:uid="{00000000-0005-0000-0000-000035000000}"/>
    <cellStyle name="Comma 4 3" xfId="323" xr:uid="{00000000-0005-0000-0000-000036000000}"/>
    <cellStyle name="Comma 5" xfId="60" xr:uid="{00000000-0005-0000-0000-000037000000}"/>
    <cellStyle name="Comma 8" xfId="10" xr:uid="{00000000-0005-0000-0000-000038000000}"/>
    <cellStyle name="Currency 2" xfId="61" xr:uid="{00000000-0005-0000-0000-000039000000}"/>
    <cellStyle name="Currency 2 2" xfId="62" xr:uid="{00000000-0005-0000-0000-00003A000000}"/>
    <cellStyle name="Currency 2 3" xfId="324" xr:uid="{00000000-0005-0000-0000-00003B000000}"/>
    <cellStyle name="Description" xfId="63" xr:uid="{00000000-0005-0000-0000-00003C000000}"/>
    <cellStyle name="Euro" xfId="64" xr:uid="{00000000-0005-0000-0000-00003D000000}"/>
    <cellStyle name="Explanatory Text 2" xfId="65" xr:uid="{00000000-0005-0000-0000-00003E000000}"/>
    <cellStyle name="Flash" xfId="66" xr:uid="{00000000-0005-0000-0000-00003F000000}"/>
    <cellStyle name="footnote ref" xfId="67" xr:uid="{00000000-0005-0000-0000-000040000000}"/>
    <cellStyle name="footnote text" xfId="68" xr:uid="{00000000-0005-0000-0000-000041000000}"/>
    <cellStyle name="General" xfId="69" xr:uid="{00000000-0005-0000-0000-000042000000}"/>
    <cellStyle name="General 2" xfId="70" xr:uid="{00000000-0005-0000-0000-000043000000}"/>
    <cellStyle name="Good 2" xfId="71" xr:uid="{00000000-0005-0000-0000-000044000000}"/>
    <cellStyle name="Grey" xfId="72" xr:uid="{00000000-0005-0000-0000-000045000000}"/>
    <cellStyle name="HeaderLabel" xfId="73" xr:uid="{00000000-0005-0000-0000-000046000000}"/>
    <cellStyle name="HeaderText" xfId="74" xr:uid="{00000000-0005-0000-0000-000047000000}"/>
    <cellStyle name="Heading 1 2" xfId="75" xr:uid="{00000000-0005-0000-0000-000048000000}"/>
    <cellStyle name="Heading 1 2 2" xfId="76" xr:uid="{00000000-0005-0000-0000-000049000000}"/>
    <cellStyle name="Heading 1 2_asset sales" xfId="77" xr:uid="{00000000-0005-0000-0000-00004A000000}"/>
    <cellStyle name="Heading 1 3" xfId="78" xr:uid="{00000000-0005-0000-0000-00004B000000}"/>
    <cellStyle name="Heading 1 4" xfId="79" xr:uid="{00000000-0005-0000-0000-00004C000000}"/>
    <cellStyle name="Heading 2 2" xfId="80" xr:uid="{00000000-0005-0000-0000-00004D000000}"/>
    <cellStyle name="Heading 2 3" xfId="81" xr:uid="{00000000-0005-0000-0000-00004E000000}"/>
    <cellStyle name="Heading 3 2" xfId="82" xr:uid="{00000000-0005-0000-0000-00004F000000}"/>
    <cellStyle name="Heading 3 3" xfId="83" xr:uid="{00000000-0005-0000-0000-000050000000}"/>
    <cellStyle name="Heading 4 2" xfId="84" xr:uid="{00000000-0005-0000-0000-000051000000}"/>
    <cellStyle name="Heading 4 3" xfId="85" xr:uid="{00000000-0005-0000-0000-000052000000}"/>
    <cellStyle name="Heading 5" xfId="86" xr:uid="{00000000-0005-0000-0000-000053000000}"/>
    <cellStyle name="Heading 6" xfId="87" xr:uid="{00000000-0005-0000-0000-000054000000}"/>
    <cellStyle name="Heading 7" xfId="88" xr:uid="{00000000-0005-0000-0000-000055000000}"/>
    <cellStyle name="Heading 8" xfId="89" xr:uid="{00000000-0005-0000-0000-000056000000}"/>
    <cellStyle name="Hyperlink" xfId="326" builtinId="8"/>
    <cellStyle name="Hyperlink 2" xfId="90" xr:uid="{00000000-0005-0000-0000-000057000000}"/>
    <cellStyle name="Information" xfId="91" xr:uid="{00000000-0005-0000-0000-000058000000}"/>
    <cellStyle name="Input [yellow]" xfId="92" xr:uid="{00000000-0005-0000-0000-000059000000}"/>
    <cellStyle name="Input 10" xfId="93" xr:uid="{00000000-0005-0000-0000-00005A000000}"/>
    <cellStyle name="Input 11" xfId="94" xr:uid="{00000000-0005-0000-0000-00005B000000}"/>
    <cellStyle name="Input 12" xfId="95" xr:uid="{00000000-0005-0000-0000-00005C000000}"/>
    <cellStyle name="Input 13" xfId="96" xr:uid="{00000000-0005-0000-0000-00005D000000}"/>
    <cellStyle name="Input 14" xfId="97" xr:uid="{00000000-0005-0000-0000-00005E000000}"/>
    <cellStyle name="Input 15" xfId="98" xr:uid="{00000000-0005-0000-0000-00005F000000}"/>
    <cellStyle name="Input 16" xfId="99" xr:uid="{00000000-0005-0000-0000-000060000000}"/>
    <cellStyle name="Input 17" xfId="100" xr:uid="{00000000-0005-0000-0000-000061000000}"/>
    <cellStyle name="Input 18" xfId="101" xr:uid="{00000000-0005-0000-0000-000062000000}"/>
    <cellStyle name="Input 19" xfId="102" xr:uid="{00000000-0005-0000-0000-000063000000}"/>
    <cellStyle name="Input 2" xfId="103" xr:uid="{00000000-0005-0000-0000-000064000000}"/>
    <cellStyle name="Input 3" xfId="104" xr:uid="{00000000-0005-0000-0000-000065000000}"/>
    <cellStyle name="Input 4" xfId="105" xr:uid="{00000000-0005-0000-0000-000066000000}"/>
    <cellStyle name="Input 5" xfId="106" xr:uid="{00000000-0005-0000-0000-000067000000}"/>
    <cellStyle name="Input 6" xfId="107" xr:uid="{00000000-0005-0000-0000-000068000000}"/>
    <cellStyle name="Input 7" xfId="108" xr:uid="{00000000-0005-0000-0000-000069000000}"/>
    <cellStyle name="Input 8" xfId="109" xr:uid="{00000000-0005-0000-0000-00006A000000}"/>
    <cellStyle name="Input 9" xfId="110" xr:uid="{00000000-0005-0000-0000-00006B000000}"/>
    <cellStyle name="LabelIntersect" xfId="111" xr:uid="{00000000-0005-0000-0000-00006C000000}"/>
    <cellStyle name="LabelLeft" xfId="112" xr:uid="{00000000-0005-0000-0000-00006D000000}"/>
    <cellStyle name="LabelTop" xfId="113" xr:uid="{00000000-0005-0000-0000-00006E000000}"/>
    <cellStyle name="Linked Cell 2" xfId="114" xr:uid="{00000000-0005-0000-0000-00006F000000}"/>
    <cellStyle name="Mik" xfId="115" xr:uid="{00000000-0005-0000-0000-000070000000}"/>
    <cellStyle name="Mik 2" xfId="116" xr:uid="{00000000-0005-0000-0000-000071000000}"/>
    <cellStyle name="Mik_For fiscal tables" xfId="117" xr:uid="{00000000-0005-0000-0000-000072000000}"/>
    <cellStyle name="N" xfId="118" xr:uid="{00000000-0005-0000-0000-000073000000}"/>
    <cellStyle name="N 2" xfId="119" xr:uid="{00000000-0005-0000-0000-000074000000}"/>
    <cellStyle name="Neutral 2" xfId="120" xr:uid="{00000000-0005-0000-0000-000075000000}"/>
    <cellStyle name="Normal" xfId="0" builtinId="0"/>
    <cellStyle name="Normal - Style1" xfId="121" xr:uid="{00000000-0005-0000-0000-000077000000}"/>
    <cellStyle name="Normal - Style2" xfId="122" xr:uid="{00000000-0005-0000-0000-000078000000}"/>
    <cellStyle name="Normal - Style3" xfId="123" xr:uid="{00000000-0005-0000-0000-000079000000}"/>
    <cellStyle name="Normal - Style4" xfId="124" xr:uid="{00000000-0005-0000-0000-00007A000000}"/>
    <cellStyle name="Normal - Style5" xfId="125" xr:uid="{00000000-0005-0000-0000-00007B000000}"/>
    <cellStyle name="Normal 10" xfId="3" xr:uid="{00000000-0005-0000-0000-00007C000000}"/>
    <cellStyle name="Normal 10 2" xfId="126" xr:uid="{00000000-0005-0000-0000-00007D000000}"/>
    <cellStyle name="Normal 11" xfId="127" xr:uid="{00000000-0005-0000-0000-00007E000000}"/>
    <cellStyle name="Normal 12" xfId="128" xr:uid="{00000000-0005-0000-0000-00007F000000}"/>
    <cellStyle name="Normal 13" xfId="129" xr:uid="{00000000-0005-0000-0000-000080000000}"/>
    <cellStyle name="Normal 14" xfId="130" xr:uid="{00000000-0005-0000-0000-000081000000}"/>
    <cellStyle name="Normal 15" xfId="131" xr:uid="{00000000-0005-0000-0000-000082000000}"/>
    <cellStyle name="Normal 16" xfId="5" xr:uid="{00000000-0005-0000-0000-000083000000}"/>
    <cellStyle name="Normal 16 2" xfId="132" xr:uid="{00000000-0005-0000-0000-000084000000}"/>
    <cellStyle name="Normal 17" xfId="133" xr:uid="{00000000-0005-0000-0000-000085000000}"/>
    <cellStyle name="Normal 18" xfId="6" xr:uid="{00000000-0005-0000-0000-000086000000}"/>
    <cellStyle name="Normal 18 2" xfId="134" xr:uid="{00000000-0005-0000-0000-000087000000}"/>
    <cellStyle name="Normal 19" xfId="135" xr:uid="{00000000-0005-0000-0000-000088000000}"/>
    <cellStyle name="Normal 2" xfId="2" xr:uid="{00000000-0005-0000-0000-000089000000}"/>
    <cellStyle name="Normal 2 2" xfId="137" xr:uid="{00000000-0005-0000-0000-00008A000000}"/>
    <cellStyle name="Normal 2 3" xfId="136" xr:uid="{00000000-0005-0000-0000-00008B000000}"/>
    <cellStyle name="Normal 20" xfId="138" xr:uid="{00000000-0005-0000-0000-00008C000000}"/>
    <cellStyle name="Normal 21" xfId="139" xr:uid="{00000000-0005-0000-0000-00008D000000}"/>
    <cellStyle name="Normal 21 2" xfId="140" xr:uid="{00000000-0005-0000-0000-00008E000000}"/>
    <cellStyle name="Normal 21_Copy of Fiscal Tables" xfId="141" xr:uid="{00000000-0005-0000-0000-00008F000000}"/>
    <cellStyle name="Normal 22" xfId="142" xr:uid="{00000000-0005-0000-0000-000090000000}"/>
    <cellStyle name="Normal 22 2" xfId="143" xr:uid="{00000000-0005-0000-0000-000091000000}"/>
    <cellStyle name="Normal 22_Copy of Fiscal Tables" xfId="144" xr:uid="{00000000-0005-0000-0000-000092000000}"/>
    <cellStyle name="Normal 23" xfId="145" xr:uid="{00000000-0005-0000-0000-000093000000}"/>
    <cellStyle name="Normal 24" xfId="146" xr:uid="{00000000-0005-0000-0000-000094000000}"/>
    <cellStyle name="Normal 24 2" xfId="147" xr:uid="{00000000-0005-0000-0000-000095000000}"/>
    <cellStyle name="Normal 25" xfId="148" xr:uid="{00000000-0005-0000-0000-000096000000}"/>
    <cellStyle name="Normal 25 2" xfId="149" xr:uid="{00000000-0005-0000-0000-000097000000}"/>
    <cellStyle name="Normal 26" xfId="150" xr:uid="{00000000-0005-0000-0000-000098000000}"/>
    <cellStyle name="Normal 26 2" xfId="151" xr:uid="{00000000-0005-0000-0000-000099000000}"/>
    <cellStyle name="Normal 27" xfId="152" xr:uid="{00000000-0005-0000-0000-00009A000000}"/>
    <cellStyle name="Normal 27 2" xfId="153" xr:uid="{00000000-0005-0000-0000-00009B000000}"/>
    <cellStyle name="Normal 28" xfId="154" xr:uid="{00000000-0005-0000-0000-00009C000000}"/>
    <cellStyle name="Normal 28 2" xfId="155" xr:uid="{00000000-0005-0000-0000-00009D000000}"/>
    <cellStyle name="Normal 29" xfId="156" xr:uid="{00000000-0005-0000-0000-00009E000000}"/>
    <cellStyle name="Normal 29 2" xfId="157" xr:uid="{00000000-0005-0000-0000-00009F000000}"/>
    <cellStyle name="Normal 3" xfId="158" xr:uid="{00000000-0005-0000-0000-0000A0000000}"/>
    <cellStyle name="Normal 3 2" xfId="159" xr:uid="{00000000-0005-0000-0000-0000A1000000}"/>
    <cellStyle name="Normal 3_asset sales" xfId="160" xr:uid="{00000000-0005-0000-0000-0000A2000000}"/>
    <cellStyle name="Normal 30" xfId="161" xr:uid="{00000000-0005-0000-0000-0000A3000000}"/>
    <cellStyle name="Normal 30 2" xfId="162" xr:uid="{00000000-0005-0000-0000-0000A4000000}"/>
    <cellStyle name="Normal 31" xfId="163" xr:uid="{00000000-0005-0000-0000-0000A5000000}"/>
    <cellStyle name="Normal 31 2" xfId="164" xr:uid="{00000000-0005-0000-0000-0000A6000000}"/>
    <cellStyle name="Normal 32" xfId="165" xr:uid="{00000000-0005-0000-0000-0000A7000000}"/>
    <cellStyle name="Normal 32 2" xfId="166" xr:uid="{00000000-0005-0000-0000-0000A8000000}"/>
    <cellStyle name="Normal 33" xfId="167" xr:uid="{00000000-0005-0000-0000-0000A9000000}"/>
    <cellStyle name="Normal 33 2" xfId="168" xr:uid="{00000000-0005-0000-0000-0000AA000000}"/>
    <cellStyle name="Normal 34" xfId="169" xr:uid="{00000000-0005-0000-0000-0000AB000000}"/>
    <cellStyle name="Normal 34 2" xfId="170" xr:uid="{00000000-0005-0000-0000-0000AC000000}"/>
    <cellStyle name="Normal 35" xfId="171" xr:uid="{00000000-0005-0000-0000-0000AD000000}"/>
    <cellStyle name="Normal 35 2" xfId="172" xr:uid="{00000000-0005-0000-0000-0000AE000000}"/>
    <cellStyle name="Normal 36" xfId="173" xr:uid="{00000000-0005-0000-0000-0000AF000000}"/>
    <cellStyle name="Normal 37" xfId="174" xr:uid="{00000000-0005-0000-0000-0000B0000000}"/>
    <cellStyle name="Normal 38" xfId="175" xr:uid="{00000000-0005-0000-0000-0000B1000000}"/>
    <cellStyle name="Normal 39" xfId="176" xr:uid="{00000000-0005-0000-0000-0000B2000000}"/>
    <cellStyle name="Normal 4" xfId="177" xr:uid="{00000000-0005-0000-0000-0000B3000000}"/>
    <cellStyle name="Normal 40" xfId="178" xr:uid="{00000000-0005-0000-0000-0000B4000000}"/>
    <cellStyle name="Normal 41" xfId="179" xr:uid="{00000000-0005-0000-0000-0000B5000000}"/>
    <cellStyle name="Normal 42" xfId="180" xr:uid="{00000000-0005-0000-0000-0000B6000000}"/>
    <cellStyle name="Normal 43" xfId="181" xr:uid="{00000000-0005-0000-0000-0000B7000000}"/>
    <cellStyle name="Normal 44" xfId="182" xr:uid="{00000000-0005-0000-0000-0000B8000000}"/>
    <cellStyle name="Normal 45" xfId="183" xr:uid="{00000000-0005-0000-0000-0000B9000000}"/>
    <cellStyle name="Normal 46" xfId="184" xr:uid="{00000000-0005-0000-0000-0000BA000000}"/>
    <cellStyle name="Normal 47" xfId="185" xr:uid="{00000000-0005-0000-0000-0000BB000000}"/>
    <cellStyle name="Normal 48" xfId="325" xr:uid="{00000000-0005-0000-0000-0000BC000000}"/>
    <cellStyle name="Normal 5" xfId="186" xr:uid="{00000000-0005-0000-0000-0000BD000000}"/>
    <cellStyle name="Normal 6" xfId="187" xr:uid="{00000000-0005-0000-0000-0000BE000000}"/>
    <cellStyle name="Normal 7" xfId="188" xr:uid="{00000000-0005-0000-0000-0000BF000000}"/>
    <cellStyle name="Normal 8" xfId="189" xr:uid="{00000000-0005-0000-0000-0000C0000000}"/>
    <cellStyle name="Normal 9" xfId="190" xr:uid="{00000000-0005-0000-0000-0000C1000000}"/>
    <cellStyle name="Note 2" xfId="191" xr:uid="{00000000-0005-0000-0000-0000C3000000}"/>
    <cellStyle name="Output 2" xfId="192" xr:uid="{00000000-0005-0000-0000-0000C4000000}"/>
    <cellStyle name="Output Amounts" xfId="193" xr:uid="{00000000-0005-0000-0000-0000C5000000}"/>
    <cellStyle name="Output Column Headings" xfId="194" xr:uid="{00000000-0005-0000-0000-0000C6000000}"/>
    <cellStyle name="Output Line Items" xfId="195" xr:uid="{00000000-0005-0000-0000-0000C7000000}"/>
    <cellStyle name="Output Report Heading" xfId="196" xr:uid="{00000000-0005-0000-0000-0000C8000000}"/>
    <cellStyle name="Output Report Title" xfId="197" xr:uid="{00000000-0005-0000-0000-0000C9000000}"/>
    <cellStyle name="P" xfId="198" xr:uid="{00000000-0005-0000-0000-0000CA000000}"/>
    <cellStyle name="P 2" xfId="199" xr:uid="{00000000-0005-0000-0000-0000CB000000}"/>
    <cellStyle name="Percent" xfId="1" builtinId="5"/>
    <cellStyle name="Percent [2]" xfId="200" xr:uid="{00000000-0005-0000-0000-0000CD000000}"/>
    <cellStyle name="Percent 2" xfId="4" xr:uid="{00000000-0005-0000-0000-0000CE000000}"/>
    <cellStyle name="Percent 2 2" xfId="201" xr:uid="{00000000-0005-0000-0000-0000CF000000}"/>
    <cellStyle name="Percent 3" xfId="202" xr:uid="{00000000-0005-0000-0000-0000D0000000}"/>
    <cellStyle name="Percent 3 2" xfId="203" xr:uid="{00000000-0005-0000-0000-0000D1000000}"/>
    <cellStyle name="Percent 4" xfId="204" xr:uid="{00000000-0005-0000-0000-0000D2000000}"/>
    <cellStyle name="Percent 4 2" xfId="205" xr:uid="{00000000-0005-0000-0000-0000D3000000}"/>
    <cellStyle name="Percent 5" xfId="206" xr:uid="{00000000-0005-0000-0000-0000D4000000}"/>
    <cellStyle name="Percent 6" xfId="207" xr:uid="{00000000-0005-0000-0000-0000D5000000}"/>
    <cellStyle name="Percent 7" xfId="9" xr:uid="{00000000-0005-0000-0000-0000D6000000}"/>
    <cellStyle name="Percent 7 2" xfId="208" xr:uid="{00000000-0005-0000-0000-0000D7000000}"/>
    <cellStyle name="Refdb standard" xfId="209" xr:uid="{00000000-0005-0000-0000-0000D8000000}"/>
    <cellStyle name="ReportData" xfId="210" xr:uid="{00000000-0005-0000-0000-0000D9000000}"/>
    <cellStyle name="ReportElements" xfId="211" xr:uid="{00000000-0005-0000-0000-0000DA000000}"/>
    <cellStyle name="ReportHeader" xfId="212" xr:uid="{00000000-0005-0000-0000-0000DB000000}"/>
    <cellStyle name="SAPBEXaggData" xfId="213" xr:uid="{00000000-0005-0000-0000-0000DC000000}"/>
    <cellStyle name="SAPBEXaggDataEmph" xfId="214" xr:uid="{00000000-0005-0000-0000-0000DD000000}"/>
    <cellStyle name="SAPBEXaggItem" xfId="215" xr:uid="{00000000-0005-0000-0000-0000DE000000}"/>
    <cellStyle name="SAPBEXaggItemX" xfId="216" xr:uid="{00000000-0005-0000-0000-0000DF000000}"/>
    <cellStyle name="SAPBEXchaText" xfId="217" xr:uid="{00000000-0005-0000-0000-0000E0000000}"/>
    <cellStyle name="SAPBEXexcBad7" xfId="218" xr:uid="{00000000-0005-0000-0000-0000E1000000}"/>
    <cellStyle name="SAPBEXexcBad8" xfId="219" xr:uid="{00000000-0005-0000-0000-0000E2000000}"/>
    <cellStyle name="SAPBEXexcBad9" xfId="220" xr:uid="{00000000-0005-0000-0000-0000E3000000}"/>
    <cellStyle name="SAPBEXexcCritical4" xfId="221" xr:uid="{00000000-0005-0000-0000-0000E4000000}"/>
    <cellStyle name="SAPBEXexcCritical5" xfId="222" xr:uid="{00000000-0005-0000-0000-0000E5000000}"/>
    <cellStyle name="SAPBEXexcCritical6" xfId="223" xr:uid="{00000000-0005-0000-0000-0000E6000000}"/>
    <cellStyle name="SAPBEXexcGood1" xfId="224" xr:uid="{00000000-0005-0000-0000-0000E7000000}"/>
    <cellStyle name="SAPBEXexcGood2" xfId="225" xr:uid="{00000000-0005-0000-0000-0000E8000000}"/>
    <cellStyle name="SAPBEXexcGood3" xfId="226" xr:uid="{00000000-0005-0000-0000-0000E9000000}"/>
    <cellStyle name="SAPBEXfilterDrill" xfId="227" xr:uid="{00000000-0005-0000-0000-0000EA000000}"/>
    <cellStyle name="SAPBEXfilterItem" xfId="228" xr:uid="{00000000-0005-0000-0000-0000EB000000}"/>
    <cellStyle name="SAPBEXfilterText" xfId="229" xr:uid="{00000000-0005-0000-0000-0000EC000000}"/>
    <cellStyle name="SAPBEXformats" xfId="230" xr:uid="{00000000-0005-0000-0000-0000ED000000}"/>
    <cellStyle name="SAPBEXheaderItem" xfId="231" xr:uid="{00000000-0005-0000-0000-0000EE000000}"/>
    <cellStyle name="SAPBEXheaderText" xfId="232" xr:uid="{00000000-0005-0000-0000-0000EF000000}"/>
    <cellStyle name="SAPBEXHLevel0" xfId="233" xr:uid="{00000000-0005-0000-0000-0000F0000000}"/>
    <cellStyle name="SAPBEXHLevel0X" xfId="234" xr:uid="{00000000-0005-0000-0000-0000F1000000}"/>
    <cellStyle name="SAPBEXHLevel1" xfId="235" xr:uid="{00000000-0005-0000-0000-0000F2000000}"/>
    <cellStyle name="SAPBEXHLevel1X" xfId="236" xr:uid="{00000000-0005-0000-0000-0000F3000000}"/>
    <cellStyle name="SAPBEXHLevel2" xfId="237" xr:uid="{00000000-0005-0000-0000-0000F4000000}"/>
    <cellStyle name="SAPBEXHLevel2X" xfId="238" xr:uid="{00000000-0005-0000-0000-0000F5000000}"/>
    <cellStyle name="SAPBEXHLevel3" xfId="239" xr:uid="{00000000-0005-0000-0000-0000F6000000}"/>
    <cellStyle name="SAPBEXHLevel3X" xfId="240" xr:uid="{00000000-0005-0000-0000-0000F7000000}"/>
    <cellStyle name="SAPBEXresData" xfId="241" xr:uid="{00000000-0005-0000-0000-0000F8000000}"/>
    <cellStyle name="SAPBEXresDataEmph" xfId="242" xr:uid="{00000000-0005-0000-0000-0000F9000000}"/>
    <cellStyle name="SAPBEXresItem" xfId="243" xr:uid="{00000000-0005-0000-0000-0000FA000000}"/>
    <cellStyle name="SAPBEXresItemX" xfId="244" xr:uid="{00000000-0005-0000-0000-0000FB000000}"/>
    <cellStyle name="SAPBEXstdData" xfId="245" xr:uid="{00000000-0005-0000-0000-0000FC000000}"/>
    <cellStyle name="SAPBEXstdDataEmph" xfId="246" xr:uid="{00000000-0005-0000-0000-0000FD000000}"/>
    <cellStyle name="SAPBEXstdItem" xfId="247" xr:uid="{00000000-0005-0000-0000-0000FE000000}"/>
    <cellStyle name="SAPBEXstdItemX" xfId="248" xr:uid="{00000000-0005-0000-0000-0000FF000000}"/>
    <cellStyle name="SAPBEXtitle" xfId="249" xr:uid="{00000000-0005-0000-0000-000000010000}"/>
    <cellStyle name="SAPBEXundefined" xfId="250" xr:uid="{00000000-0005-0000-0000-000001010000}"/>
    <cellStyle name="Style 1" xfId="251" xr:uid="{00000000-0005-0000-0000-000002010000}"/>
    <cellStyle name="Style1" xfId="252" xr:uid="{00000000-0005-0000-0000-000003010000}"/>
    <cellStyle name="Style2" xfId="253" xr:uid="{00000000-0005-0000-0000-000004010000}"/>
    <cellStyle name="Style3" xfId="254" xr:uid="{00000000-0005-0000-0000-000005010000}"/>
    <cellStyle name="Style4" xfId="255" xr:uid="{00000000-0005-0000-0000-000006010000}"/>
    <cellStyle name="Style5" xfId="256" xr:uid="{00000000-0005-0000-0000-000007010000}"/>
    <cellStyle name="Style6" xfId="257" xr:uid="{00000000-0005-0000-0000-000008010000}"/>
    <cellStyle name="Table Footnote" xfId="258" xr:uid="{00000000-0005-0000-0000-000009010000}"/>
    <cellStyle name="Table Footnote 2" xfId="259" xr:uid="{00000000-0005-0000-0000-00000A010000}"/>
    <cellStyle name="Table Footnote 2 2" xfId="260" xr:uid="{00000000-0005-0000-0000-00000B010000}"/>
    <cellStyle name="Table Footnote_Table 5.6 sales of assets 23Feb2010" xfId="261" xr:uid="{00000000-0005-0000-0000-00000C010000}"/>
    <cellStyle name="Table Header" xfId="262" xr:uid="{00000000-0005-0000-0000-00000D010000}"/>
    <cellStyle name="Table Header 2" xfId="263" xr:uid="{00000000-0005-0000-0000-00000E010000}"/>
    <cellStyle name="Table Header 2 2" xfId="264" xr:uid="{00000000-0005-0000-0000-00000F010000}"/>
    <cellStyle name="Table Header_Table 5.6 sales of assets 23Feb2010" xfId="265" xr:uid="{00000000-0005-0000-0000-000010010000}"/>
    <cellStyle name="Table Heading 1" xfId="266" xr:uid="{00000000-0005-0000-0000-000011010000}"/>
    <cellStyle name="Table Heading 1 2" xfId="267" xr:uid="{00000000-0005-0000-0000-000012010000}"/>
    <cellStyle name="Table Heading 1 2 2" xfId="268" xr:uid="{00000000-0005-0000-0000-000013010000}"/>
    <cellStyle name="Table Heading 1_Table 5.6 sales of assets 23Feb2010" xfId="269" xr:uid="{00000000-0005-0000-0000-000014010000}"/>
    <cellStyle name="Table Heading 2" xfId="270" xr:uid="{00000000-0005-0000-0000-000015010000}"/>
    <cellStyle name="Table Heading 2 2" xfId="271" xr:uid="{00000000-0005-0000-0000-000016010000}"/>
    <cellStyle name="Table Heading 2_Table 5.6 sales of assets 23Feb2010" xfId="272" xr:uid="{00000000-0005-0000-0000-000017010000}"/>
    <cellStyle name="Table Of Which" xfId="273" xr:uid="{00000000-0005-0000-0000-000018010000}"/>
    <cellStyle name="Table Of Which 2" xfId="274" xr:uid="{00000000-0005-0000-0000-000019010000}"/>
    <cellStyle name="Table Of Which_Table 5.6 sales of assets 23Feb2010" xfId="275" xr:uid="{00000000-0005-0000-0000-00001A010000}"/>
    <cellStyle name="Table Row Billions" xfId="276" xr:uid="{00000000-0005-0000-0000-00001B010000}"/>
    <cellStyle name="Table Row Billions 2" xfId="277" xr:uid="{00000000-0005-0000-0000-00001C010000}"/>
    <cellStyle name="Table Row Billions Check" xfId="278" xr:uid="{00000000-0005-0000-0000-00001D010000}"/>
    <cellStyle name="Table Row Billions Check 2" xfId="279" xr:uid="{00000000-0005-0000-0000-00001E010000}"/>
    <cellStyle name="Table Row Billions Check 3" xfId="280" xr:uid="{00000000-0005-0000-0000-00001F010000}"/>
    <cellStyle name="Table Row Billions Check_asset sales" xfId="281" xr:uid="{00000000-0005-0000-0000-000020010000}"/>
    <cellStyle name="Table Row Billions_Table 5.6 sales of assets 23Feb2010" xfId="282" xr:uid="{00000000-0005-0000-0000-000021010000}"/>
    <cellStyle name="Table Row Millions" xfId="283" xr:uid="{00000000-0005-0000-0000-000022010000}"/>
    <cellStyle name="Table Row Millions 2" xfId="284" xr:uid="{00000000-0005-0000-0000-000023010000}"/>
    <cellStyle name="Table Row Millions 2 2" xfId="285" xr:uid="{00000000-0005-0000-0000-000024010000}"/>
    <cellStyle name="Table Row Millions Check" xfId="286" xr:uid="{00000000-0005-0000-0000-000025010000}"/>
    <cellStyle name="Table Row Millions Check 2" xfId="287" xr:uid="{00000000-0005-0000-0000-000026010000}"/>
    <cellStyle name="Table Row Millions Check 3" xfId="288" xr:uid="{00000000-0005-0000-0000-000027010000}"/>
    <cellStyle name="Table Row Millions Check 4" xfId="289" xr:uid="{00000000-0005-0000-0000-000028010000}"/>
    <cellStyle name="Table Row Millions Check_asset sales" xfId="290" xr:uid="{00000000-0005-0000-0000-000029010000}"/>
    <cellStyle name="Table Row Millions_Table 5.6 sales of assets 23Feb2010" xfId="291" xr:uid="{00000000-0005-0000-0000-00002A010000}"/>
    <cellStyle name="Table Row Percentage" xfId="292" xr:uid="{00000000-0005-0000-0000-00002B010000}"/>
    <cellStyle name="Table Row Percentage 2" xfId="293" xr:uid="{00000000-0005-0000-0000-00002C010000}"/>
    <cellStyle name="Table Row Percentage Check" xfId="294" xr:uid="{00000000-0005-0000-0000-00002D010000}"/>
    <cellStyle name="Table Row Percentage Check 2" xfId="295" xr:uid="{00000000-0005-0000-0000-00002E010000}"/>
    <cellStyle name="Table Row Percentage Check 3" xfId="296" xr:uid="{00000000-0005-0000-0000-00002F010000}"/>
    <cellStyle name="Table Row Percentage Check_asset sales" xfId="297" xr:uid="{00000000-0005-0000-0000-000030010000}"/>
    <cellStyle name="Table Row Percentage_Table 5.6 sales of assets 23Feb2010" xfId="298" xr:uid="{00000000-0005-0000-0000-000031010000}"/>
    <cellStyle name="Table Total Billions" xfId="299" xr:uid="{00000000-0005-0000-0000-000032010000}"/>
    <cellStyle name="Table Total Billions 2" xfId="300" xr:uid="{00000000-0005-0000-0000-000033010000}"/>
    <cellStyle name="Table Total Billions_Table 5.6 sales of assets 23Feb2010" xfId="301" xr:uid="{00000000-0005-0000-0000-000034010000}"/>
    <cellStyle name="Table Total Millions" xfId="302" xr:uid="{00000000-0005-0000-0000-000035010000}"/>
    <cellStyle name="Table Total Millions 2" xfId="303" xr:uid="{00000000-0005-0000-0000-000036010000}"/>
    <cellStyle name="Table Total Millions 2 2" xfId="304" xr:uid="{00000000-0005-0000-0000-000037010000}"/>
    <cellStyle name="Table Total Millions_Table 5.6 sales of assets 23Feb2010" xfId="305" xr:uid="{00000000-0005-0000-0000-000038010000}"/>
    <cellStyle name="Table Total Percentage" xfId="306" xr:uid="{00000000-0005-0000-0000-000039010000}"/>
    <cellStyle name="Table Total Percentage 2" xfId="307" xr:uid="{00000000-0005-0000-0000-00003A010000}"/>
    <cellStyle name="Table Total Percentage_Table 5.6 sales of assets 23Feb2010" xfId="308" xr:uid="{00000000-0005-0000-0000-00003B010000}"/>
    <cellStyle name="Table Units" xfId="309" xr:uid="{00000000-0005-0000-0000-00003C010000}"/>
    <cellStyle name="Table Units 2" xfId="310" xr:uid="{00000000-0005-0000-0000-00003D010000}"/>
    <cellStyle name="Table Units 2 2" xfId="311" xr:uid="{00000000-0005-0000-0000-00003E010000}"/>
    <cellStyle name="Table Units_Table 5.6 sales of assets 23Feb2010" xfId="312" xr:uid="{00000000-0005-0000-0000-00003F010000}"/>
    <cellStyle name="Times New Roman" xfId="313" xr:uid="{00000000-0005-0000-0000-000040010000}"/>
    <cellStyle name="Title 2" xfId="314" xr:uid="{00000000-0005-0000-0000-000041010000}"/>
    <cellStyle name="Title 3" xfId="315" xr:uid="{00000000-0005-0000-0000-000042010000}"/>
    <cellStyle name="Title 4" xfId="316" xr:uid="{00000000-0005-0000-0000-000043010000}"/>
    <cellStyle name="Total 2" xfId="317" xr:uid="{00000000-0005-0000-0000-000044010000}"/>
    <cellStyle name="Warning Text 2" xfId="318" xr:uid="{00000000-0005-0000-0000-000045010000}"/>
    <cellStyle name="whole number" xfId="319" xr:uid="{00000000-0005-0000-0000-000046010000}"/>
  </cellStyles>
  <dxfs count="0"/>
  <tableStyles count="0" defaultTableStyle="TableStyleMedium2" defaultPivotStyle="PivotStyleLight16"/>
  <colors>
    <mruColors>
      <color rgb="FFBCA8D0"/>
      <color rgb="FF9F71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'RoRE chart'!$A$19</c:f>
              <c:strCache>
                <c:ptCount val="1"/>
                <c:pt idx="0">
                  <c:v>Cost and performance incentives</c:v>
                </c:pt>
              </c:strCache>
            </c:strRef>
          </c:tx>
          <c:spPr>
            <a:solidFill>
              <a:schemeClr val="accent1"/>
            </a:solidFill>
            <a:ln>
              <a:noFill/>
            </a:ln>
            <a:effectLst/>
          </c:spPr>
          <c:invertIfNegative val="0"/>
          <c:cat>
            <c:strRef>
              <c:f>'RoRE chart'!$B$18:$G$18</c:f>
              <c:strCache>
                <c:ptCount val="6"/>
                <c:pt idx="0">
                  <c:v>Notional TSO</c:v>
                </c:pt>
                <c:pt idx="1">
                  <c:v>All water company average</c:v>
                </c:pt>
                <c:pt idx="2">
                  <c:v>Listed water company average</c:v>
                </c:pt>
                <c:pt idx="3">
                  <c:v>Severn Trent</c:v>
                </c:pt>
                <c:pt idx="4">
                  <c:v>South West Water</c:v>
                </c:pt>
                <c:pt idx="5">
                  <c:v>United Utilities</c:v>
                </c:pt>
              </c:strCache>
            </c:strRef>
          </c:cat>
          <c:val>
            <c:numRef>
              <c:f>'RoRE chart'!$B$19:$G$19</c:f>
              <c:numCache>
                <c:formatCode>0.0%</c:formatCode>
                <c:ptCount val="6"/>
                <c:pt idx="0" formatCode="0.00%">
                  <c:v>-2.9457000059741646E-2</c:v>
                </c:pt>
                <c:pt idx="1">
                  <c:v>-4.3726134445913487E-2</c:v>
                </c:pt>
                <c:pt idx="2">
                  <c:v>-3.6561950892297801E-2</c:v>
                </c:pt>
                <c:pt idx="3">
                  <c:v>-4.6632276380639014E-2</c:v>
                </c:pt>
                <c:pt idx="4">
                  <c:v>-3.4750561034139954E-2</c:v>
                </c:pt>
                <c:pt idx="5">
                  <c:v>-2.8303015262114421E-2</c:v>
                </c:pt>
              </c:numCache>
            </c:numRef>
          </c:val>
          <c:extLst>
            <c:ext xmlns:c16="http://schemas.microsoft.com/office/drawing/2014/chart" uri="{C3380CC4-5D6E-409C-BE32-E72D297353CC}">
              <c16:uniqueId val="{00000000-C0DF-475C-BB46-6DD5A06226B6}"/>
            </c:ext>
          </c:extLst>
        </c:ser>
        <c:ser>
          <c:idx val="1"/>
          <c:order val="1"/>
          <c:tx>
            <c:strRef>
              <c:f>'RoRE chart'!$A$20</c:f>
              <c:strCache>
                <c:ptCount val="1"/>
                <c:pt idx="0">
                  <c:v>Financing costs</c:v>
                </c:pt>
              </c:strCache>
            </c:strRef>
          </c:tx>
          <c:spPr>
            <a:solidFill>
              <a:schemeClr val="accent2"/>
            </a:solidFill>
            <a:ln>
              <a:noFill/>
            </a:ln>
            <a:effectLst/>
          </c:spPr>
          <c:invertIfNegative val="0"/>
          <c:cat>
            <c:strRef>
              <c:f>'RoRE chart'!$B$18:$G$18</c:f>
              <c:strCache>
                <c:ptCount val="6"/>
                <c:pt idx="0">
                  <c:v>Notional TSO</c:v>
                </c:pt>
                <c:pt idx="1">
                  <c:v>All water company average</c:v>
                </c:pt>
                <c:pt idx="2">
                  <c:v>Listed water company average</c:v>
                </c:pt>
                <c:pt idx="3">
                  <c:v>Severn Trent</c:v>
                </c:pt>
                <c:pt idx="4">
                  <c:v>South West Water</c:v>
                </c:pt>
                <c:pt idx="5">
                  <c:v>United Utilities</c:v>
                </c:pt>
              </c:strCache>
            </c:strRef>
          </c:cat>
          <c:val>
            <c:numRef>
              <c:f>'RoRE chart'!$B$20:$G$20</c:f>
              <c:numCache>
                <c:formatCode>0.0%</c:formatCode>
                <c:ptCount val="6"/>
                <c:pt idx="0" formatCode="0.00%">
                  <c:v>-5.4000000000000012E-3</c:v>
                </c:pt>
                <c:pt idx="1">
                  <c:v>-1.2171225392457009E-2</c:v>
                </c:pt>
                <c:pt idx="2">
                  <c:v>-1.1611888597902907E-2</c:v>
                </c:pt>
                <c:pt idx="3">
                  <c:v>-1.1556276726008018E-2</c:v>
                </c:pt>
                <c:pt idx="4">
                  <c:v>-1.1636368177832718E-2</c:v>
                </c:pt>
                <c:pt idx="5">
                  <c:v>-1.1643020889867982E-2</c:v>
                </c:pt>
              </c:numCache>
            </c:numRef>
          </c:val>
          <c:extLst>
            <c:ext xmlns:c16="http://schemas.microsoft.com/office/drawing/2014/chart" uri="{C3380CC4-5D6E-409C-BE32-E72D297353CC}">
              <c16:uniqueId val="{00000001-C0DF-475C-BB46-6DD5A06226B6}"/>
            </c:ext>
          </c:extLst>
        </c:ser>
        <c:ser>
          <c:idx val="2"/>
          <c:order val="2"/>
          <c:tx>
            <c:strRef>
              <c:f>'RoRE chart'!$A$21</c:f>
              <c:strCache>
                <c:ptCount val="1"/>
                <c:pt idx="0">
                  <c:v>Cost and performance incentives</c:v>
                </c:pt>
              </c:strCache>
            </c:strRef>
          </c:tx>
          <c:spPr>
            <a:solidFill>
              <a:schemeClr val="accent1"/>
            </a:solidFill>
            <a:ln>
              <a:noFill/>
            </a:ln>
            <a:effectLst/>
          </c:spPr>
          <c:invertIfNegative val="0"/>
          <c:cat>
            <c:strRef>
              <c:f>'RoRE chart'!$B$18:$G$18</c:f>
              <c:strCache>
                <c:ptCount val="6"/>
                <c:pt idx="0">
                  <c:v>Notional TSO</c:v>
                </c:pt>
                <c:pt idx="1">
                  <c:v>All water company average</c:v>
                </c:pt>
                <c:pt idx="2">
                  <c:v>Listed water company average</c:v>
                </c:pt>
                <c:pt idx="3">
                  <c:v>Severn Trent</c:v>
                </c:pt>
                <c:pt idx="4">
                  <c:v>South West Water</c:v>
                </c:pt>
                <c:pt idx="5">
                  <c:v>United Utilities</c:v>
                </c:pt>
              </c:strCache>
            </c:strRef>
          </c:cat>
          <c:val>
            <c:numRef>
              <c:f>'RoRE chart'!$B$21:$G$21</c:f>
              <c:numCache>
                <c:formatCode>0.0%</c:formatCode>
                <c:ptCount val="6"/>
                <c:pt idx="0" formatCode="0.00%">
                  <c:v>4.9095000099569415E-2</c:v>
                </c:pt>
                <c:pt idx="1">
                  <c:v>3.5730943607199098E-2</c:v>
                </c:pt>
                <c:pt idx="2">
                  <c:v>3.3708519431209644E-2</c:v>
                </c:pt>
                <c:pt idx="3">
                  <c:v>3.8707714274175506E-2</c:v>
                </c:pt>
                <c:pt idx="4">
                  <c:v>3.3272162058440038E-2</c:v>
                </c:pt>
                <c:pt idx="5">
                  <c:v>2.9145681961013394E-2</c:v>
                </c:pt>
              </c:numCache>
            </c:numRef>
          </c:val>
          <c:extLst>
            <c:ext xmlns:c16="http://schemas.microsoft.com/office/drawing/2014/chart" uri="{C3380CC4-5D6E-409C-BE32-E72D297353CC}">
              <c16:uniqueId val="{00000002-C0DF-475C-BB46-6DD5A06226B6}"/>
            </c:ext>
          </c:extLst>
        </c:ser>
        <c:ser>
          <c:idx val="3"/>
          <c:order val="3"/>
          <c:tx>
            <c:strRef>
              <c:f>'RoRE chart'!$A$22</c:f>
              <c:strCache>
                <c:ptCount val="1"/>
                <c:pt idx="0">
                  <c:v>Financing costs</c:v>
                </c:pt>
              </c:strCache>
            </c:strRef>
          </c:tx>
          <c:spPr>
            <a:solidFill>
              <a:schemeClr val="accent2"/>
            </a:solidFill>
            <a:ln>
              <a:noFill/>
            </a:ln>
            <a:effectLst/>
          </c:spPr>
          <c:invertIfNegative val="0"/>
          <c:cat>
            <c:strRef>
              <c:f>'RoRE chart'!$B$18:$G$18</c:f>
              <c:strCache>
                <c:ptCount val="6"/>
                <c:pt idx="0">
                  <c:v>Notional TSO</c:v>
                </c:pt>
                <c:pt idx="1">
                  <c:v>All water company average</c:v>
                </c:pt>
                <c:pt idx="2">
                  <c:v>Listed water company average</c:v>
                </c:pt>
                <c:pt idx="3">
                  <c:v>Severn Trent</c:v>
                </c:pt>
                <c:pt idx="4">
                  <c:v>South West Water</c:v>
                </c:pt>
                <c:pt idx="5">
                  <c:v>United Utilities</c:v>
                </c:pt>
              </c:strCache>
            </c:strRef>
          </c:cat>
          <c:val>
            <c:numRef>
              <c:f>'RoRE chart'!$B$22:$G$22</c:f>
              <c:numCache>
                <c:formatCode>0.0%</c:formatCode>
                <c:ptCount val="6"/>
                <c:pt idx="0" formatCode="0.00%">
                  <c:v>5.4000000000000012E-3</c:v>
                </c:pt>
                <c:pt idx="1">
                  <c:v>1.172733214639644E-2</c:v>
                </c:pt>
                <c:pt idx="2">
                  <c:v>1.2334615438242389E-2</c:v>
                </c:pt>
                <c:pt idx="3">
                  <c:v>1.2337570614032463E-2</c:v>
                </c:pt>
                <c:pt idx="4">
                  <c:v>1.2320658722644991E-2</c:v>
                </c:pt>
                <c:pt idx="5">
                  <c:v>1.2345616978049714E-2</c:v>
                </c:pt>
              </c:numCache>
            </c:numRef>
          </c:val>
          <c:extLst>
            <c:ext xmlns:c16="http://schemas.microsoft.com/office/drawing/2014/chart" uri="{C3380CC4-5D6E-409C-BE32-E72D297353CC}">
              <c16:uniqueId val="{00000003-C0DF-475C-BB46-6DD5A06226B6}"/>
            </c:ext>
          </c:extLst>
        </c:ser>
        <c:dLbls>
          <c:showLegendKey val="0"/>
          <c:showVal val="0"/>
          <c:showCatName val="0"/>
          <c:showSerName val="0"/>
          <c:showPercent val="0"/>
          <c:showBubbleSize val="0"/>
        </c:dLbls>
        <c:gapWidth val="150"/>
        <c:overlap val="100"/>
        <c:axId val="523651936"/>
        <c:axId val="523653504"/>
      </c:barChart>
      <c:catAx>
        <c:axId val="5236519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653504"/>
        <c:crosses val="autoZero"/>
        <c:auto val="1"/>
        <c:lblAlgn val="ctr"/>
        <c:lblOffset val="100"/>
        <c:noMultiLvlLbl val="0"/>
      </c:catAx>
      <c:valAx>
        <c:axId val="523653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alpha val="86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651936"/>
        <c:crosses val="autoZero"/>
        <c:crossBetween val="between"/>
        <c:majorUnit val="1.0000000000000002E-2"/>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RAB</a:t>
            </a:r>
            <a:r>
              <a:rPr lang="en-GB" baseline="0"/>
              <a:t> according to SONI BPDT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'RAB charts'!$A$29</c:f>
              <c:strCache>
                <c:ptCount val="1"/>
                <c:pt idx="0">
                  <c:v>Building assets</c:v>
                </c:pt>
              </c:strCache>
            </c:strRef>
          </c:tx>
          <c:spPr>
            <a:solidFill>
              <a:schemeClr val="accent1"/>
            </a:solidFill>
            <a:ln>
              <a:noFill/>
            </a:ln>
            <a:effectLst/>
          </c:spPr>
          <c:invertIfNegative val="0"/>
          <c:cat>
            <c:strRef>
              <c:f>'RAB charts'!$B$28:$K$28</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charts'!$B$29:$K$29</c:f>
              <c:numCache>
                <c:formatCode>#,##0_ ;[Red]\-#,##0\ </c:formatCode>
                <c:ptCount val="10"/>
                <c:pt idx="0">
                  <c:v>3646.7229347733542</c:v>
                </c:pt>
                <c:pt idx="1">
                  <c:v>3516.2216488375375</c:v>
                </c:pt>
                <c:pt idx="2">
                  <c:v>3401.4685109399447</c:v>
                </c:pt>
                <c:pt idx="3">
                  <c:v>3276.9990954775549</c:v>
                </c:pt>
                <c:pt idx="4">
                  <c:v>3168.2517089072167</c:v>
                </c:pt>
                <c:pt idx="5">
                  <c:v>3945.68039506477</c:v>
                </c:pt>
                <c:pt idx="6">
                  <c:v>4720.3273850624291</c:v>
                </c:pt>
                <c:pt idx="7">
                  <c:v>4642.6738797131702</c:v>
                </c:pt>
                <c:pt idx="8">
                  <c:v>4557.490980632595</c:v>
                </c:pt>
                <c:pt idx="9">
                  <c:v>4464.4423560722389</c:v>
                </c:pt>
              </c:numCache>
            </c:numRef>
          </c:val>
          <c:extLst>
            <c:ext xmlns:c16="http://schemas.microsoft.com/office/drawing/2014/chart" uri="{C3380CC4-5D6E-409C-BE32-E72D297353CC}">
              <c16:uniqueId val="{00000000-6DF7-4322-9E40-FCAC333699C0}"/>
            </c:ext>
          </c:extLst>
        </c:ser>
        <c:ser>
          <c:idx val="1"/>
          <c:order val="1"/>
          <c:tx>
            <c:strRef>
              <c:f>'RAB charts'!$A$30</c:f>
              <c:strCache>
                <c:ptCount val="1"/>
                <c:pt idx="0">
                  <c:v>Non-building assets</c:v>
                </c:pt>
              </c:strCache>
            </c:strRef>
          </c:tx>
          <c:spPr>
            <a:solidFill>
              <a:schemeClr val="accent2"/>
            </a:solidFill>
            <a:ln>
              <a:noFill/>
            </a:ln>
            <a:effectLst/>
          </c:spPr>
          <c:invertIfNegative val="0"/>
          <c:cat>
            <c:strRef>
              <c:f>'RAB charts'!$B$28:$K$28</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charts'!$B$30:$K$30</c:f>
              <c:numCache>
                <c:formatCode>#,##0_ ;[Red]\-#,##0\ </c:formatCode>
                <c:ptCount val="10"/>
                <c:pt idx="0">
                  <c:v>8390.8217174337169</c:v>
                </c:pt>
                <c:pt idx="1">
                  <c:v>7548.2661713100051</c:v>
                </c:pt>
                <c:pt idx="2">
                  <c:v>6151.3196763854166</c:v>
                </c:pt>
                <c:pt idx="3">
                  <c:v>4818.1704555939959</c:v>
                </c:pt>
                <c:pt idx="4">
                  <c:v>4473.0533224247047</c:v>
                </c:pt>
                <c:pt idx="5">
                  <c:v>7098.5155891894483</c:v>
                </c:pt>
                <c:pt idx="6">
                  <c:v>11385.059542422468</c:v>
                </c:pt>
                <c:pt idx="7">
                  <c:v>13606.998063215642</c:v>
                </c:pt>
                <c:pt idx="8">
                  <c:v>13406.145955575044</c:v>
                </c:pt>
                <c:pt idx="9">
                  <c:v>12224.345222153124</c:v>
                </c:pt>
              </c:numCache>
            </c:numRef>
          </c:val>
          <c:extLst>
            <c:ext xmlns:c16="http://schemas.microsoft.com/office/drawing/2014/chart" uri="{C3380CC4-5D6E-409C-BE32-E72D297353CC}">
              <c16:uniqueId val="{00000001-6DF7-4322-9E40-FCAC333699C0}"/>
            </c:ext>
          </c:extLst>
        </c:ser>
        <c:ser>
          <c:idx val="2"/>
          <c:order val="2"/>
          <c:tx>
            <c:strRef>
              <c:f>'RAB charts'!$A$31</c:f>
              <c:strCache>
                <c:ptCount val="1"/>
                <c:pt idx="0">
                  <c:v>TNPP</c:v>
                </c:pt>
              </c:strCache>
            </c:strRef>
          </c:tx>
          <c:spPr>
            <a:solidFill>
              <a:schemeClr val="accent3"/>
            </a:solidFill>
            <a:ln>
              <a:noFill/>
            </a:ln>
            <a:effectLst/>
          </c:spPr>
          <c:invertIfNegative val="0"/>
          <c:cat>
            <c:strRef>
              <c:f>'RAB charts'!$B$28:$K$28</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charts'!$B$31:$K$31</c:f>
              <c:numCache>
                <c:formatCode>#,##0_ ;[Red]\-#,##0\ </c:formatCode>
                <c:ptCount val="10"/>
                <c:pt idx="0">
                  <c:v>3287.3815599825366</c:v>
                </c:pt>
                <c:pt idx="1">
                  <c:v>5492.0235974945826</c:v>
                </c:pt>
                <c:pt idx="2">
                  <c:v>7729.5172534240901</c:v>
                </c:pt>
                <c:pt idx="3">
                  <c:v>9323.8522027331819</c:v>
                </c:pt>
                <c:pt idx="4">
                  <c:v>11309.573230746921</c:v>
                </c:pt>
                <c:pt idx="5">
                  <c:v>14986.860027573015</c:v>
                </c:pt>
                <c:pt idx="6">
                  <c:v>19042.302803157359</c:v>
                </c:pt>
                <c:pt idx="7">
                  <c:v>21879.031189611127</c:v>
                </c:pt>
                <c:pt idx="8">
                  <c:v>20000.717989056582</c:v>
                </c:pt>
                <c:pt idx="9">
                  <c:v>13329.732318656797</c:v>
                </c:pt>
              </c:numCache>
            </c:numRef>
          </c:val>
          <c:extLst>
            <c:ext xmlns:c16="http://schemas.microsoft.com/office/drawing/2014/chart" uri="{C3380CC4-5D6E-409C-BE32-E72D297353CC}">
              <c16:uniqueId val="{00000002-6DF7-4322-9E40-FCAC333699C0}"/>
            </c:ext>
          </c:extLst>
        </c:ser>
        <c:ser>
          <c:idx val="3"/>
          <c:order val="3"/>
          <c:tx>
            <c:strRef>
              <c:f>'RAB charts'!$A$32</c:f>
              <c:strCache>
                <c:ptCount val="1"/>
                <c:pt idx="0">
                  <c:v>Special projects</c:v>
                </c:pt>
              </c:strCache>
            </c:strRef>
          </c:tx>
          <c:spPr>
            <a:solidFill>
              <a:schemeClr val="accent4"/>
            </a:solidFill>
            <a:ln>
              <a:noFill/>
            </a:ln>
            <a:effectLst/>
          </c:spPr>
          <c:invertIfNegative val="0"/>
          <c:cat>
            <c:strRef>
              <c:f>'RAB charts'!$B$28:$K$28</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charts'!$B$32:$K$32</c:f>
              <c:numCache>
                <c:formatCode>#,##0_ ;[Red]\-#,##0\ </c:formatCode>
                <c:ptCount val="10"/>
                <c:pt idx="0">
                  <c:v>0</c:v>
                </c:pt>
                <c:pt idx="1">
                  <c:v>0</c:v>
                </c:pt>
                <c:pt idx="2">
                  <c:v>0</c:v>
                </c:pt>
                <c:pt idx="3">
                  <c:v>0</c:v>
                </c:pt>
                <c:pt idx="4">
                  <c:v>10460.570730946982</c:v>
                </c:pt>
                <c:pt idx="5">
                  <c:v>18854.978840724983</c:v>
                </c:pt>
                <c:pt idx="6">
                  <c:v>13737.198869671063</c:v>
                </c:pt>
                <c:pt idx="7">
                  <c:v>8407.1657082386919</c:v>
                </c:pt>
                <c:pt idx="8">
                  <c:v>2858.4363408011559</c:v>
                </c:pt>
                <c:pt idx="9">
                  <c:v>0</c:v>
                </c:pt>
              </c:numCache>
            </c:numRef>
          </c:val>
          <c:extLst>
            <c:ext xmlns:c16="http://schemas.microsoft.com/office/drawing/2014/chart" uri="{C3380CC4-5D6E-409C-BE32-E72D297353CC}">
              <c16:uniqueId val="{00000003-6DF7-4322-9E40-FCAC333699C0}"/>
            </c:ext>
          </c:extLst>
        </c:ser>
        <c:dLbls>
          <c:showLegendKey val="0"/>
          <c:showVal val="0"/>
          <c:showCatName val="0"/>
          <c:showSerName val="0"/>
          <c:showPercent val="0"/>
          <c:showBubbleSize val="0"/>
        </c:dLbls>
        <c:gapWidth val="150"/>
        <c:overlap val="100"/>
        <c:axId val="371269536"/>
        <c:axId val="371271888"/>
      </c:barChart>
      <c:catAx>
        <c:axId val="371269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71271888"/>
        <c:crosses val="autoZero"/>
        <c:auto val="1"/>
        <c:lblAlgn val="ctr"/>
        <c:lblOffset val="100"/>
        <c:noMultiLvlLbl val="0"/>
      </c:catAx>
      <c:valAx>
        <c:axId val="3712718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a:t>
                </a:r>
                <a:r>
                  <a:rPr lang="en-US" baseline="0"/>
                  <a:t> RAB value, £000s nominal</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269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RAB</a:t>
            </a:r>
            <a:r>
              <a:rPr lang="en-GB" baseline="0"/>
              <a:t> according to UR final determinations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'RAB charts'!$A$37</c:f>
              <c:strCache>
                <c:ptCount val="1"/>
                <c:pt idx="0">
                  <c:v>Building assets</c:v>
                </c:pt>
              </c:strCache>
            </c:strRef>
          </c:tx>
          <c:spPr>
            <a:solidFill>
              <a:schemeClr val="accent1"/>
            </a:solidFill>
            <a:ln>
              <a:noFill/>
            </a:ln>
            <a:effectLst/>
          </c:spPr>
          <c:invertIfNegative val="0"/>
          <c:cat>
            <c:strRef>
              <c:f>'RAB charts'!$B$36:$K$36</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charts'!$B$37:$K$37</c:f>
              <c:numCache>
                <c:formatCode>#,##0_ ;[Red]\-#,##0\ </c:formatCode>
                <c:ptCount val="10"/>
                <c:pt idx="0">
                  <c:v>2466.5120650393096</c:v>
                </c:pt>
                <c:pt idx="1">
                  <c:v>2464.54236181134</c:v>
                </c:pt>
                <c:pt idx="2">
                  <c:v>2437.0982152030306</c:v>
                </c:pt>
                <c:pt idx="3">
                  <c:v>2397.5989552843394</c:v>
                </c:pt>
                <c:pt idx="4">
                  <c:v>2297.8564752220077</c:v>
                </c:pt>
                <c:pt idx="5">
                  <c:v>2223.9422469823639</c:v>
                </c:pt>
                <c:pt idx="6">
                  <c:v>2178.8745636926174</c:v>
                </c:pt>
                <c:pt idx="7">
                  <c:v>2109.3986412196996</c:v>
                </c:pt>
                <c:pt idx="8">
                  <c:v>2014.9412269243735</c:v>
                </c:pt>
                <c:pt idx="9">
                  <c:v>1915.4160198898635</c:v>
                </c:pt>
              </c:numCache>
            </c:numRef>
          </c:val>
          <c:extLst>
            <c:ext xmlns:c16="http://schemas.microsoft.com/office/drawing/2014/chart" uri="{C3380CC4-5D6E-409C-BE32-E72D297353CC}">
              <c16:uniqueId val="{00000000-4A2E-49CC-B759-EDD086BE6C33}"/>
            </c:ext>
          </c:extLst>
        </c:ser>
        <c:ser>
          <c:idx val="1"/>
          <c:order val="1"/>
          <c:tx>
            <c:strRef>
              <c:f>'RAB charts'!$A$38</c:f>
              <c:strCache>
                <c:ptCount val="1"/>
                <c:pt idx="0">
                  <c:v>Non-building assets</c:v>
                </c:pt>
              </c:strCache>
            </c:strRef>
          </c:tx>
          <c:spPr>
            <a:solidFill>
              <a:schemeClr val="accent2"/>
            </a:solidFill>
            <a:ln>
              <a:noFill/>
            </a:ln>
            <a:effectLst/>
          </c:spPr>
          <c:invertIfNegative val="0"/>
          <c:cat>
            <c:strRef>
              <c:f>'RAB charts'!$B$36:$K$36</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charts'!$B$38:$K$38</c:f>
              <c:numCache>
                <c:formatCode>#,##0_ ;[Red]\-#,##0\ </c:formatCode>
                <c:ptCount val="10"/>
                <c:pt idx="0">
                  <c:v>5395.0460595683317</c:v>
                </c:pt>
                <c:pt idx="1">
                  <c:v>3944.4680834481665</c:v>
                </c:pt>
                <c:pt idx="2">
                  <c:v>3301.9167478009254</c:v>
                </c:pt>
                <c:pt idx="3">
                  <c:v>2764.8381046347663</c:v>
                </c:pt>
                <c:pt idx="4">
                  <c:v>2355.2295241288339</c:v>
                </c:pt>
                <c:pt idx="5">
                  <c:v>4047.73837098579</c:v>
                </c:pt>
                <c:pt idx="6">
                  <c:v>7439.467773929282</c:v>
                </c:pt>
                <c:pt idx="7">
                  <c:v>9076.5332591017141</c:v>
                </c:pt>
                <c:pt idx="8">
                  <c:v>8940.1034899393817</c:v>
                </c:pt>
                <c:pt idx="9">
                  <c:v>8292.0852807070223</c:v>
                </c:pt>
              </c:numCache>
            </c:numRef>
          </c:val>
          <c:extLst>
            <c:ext xmlns:c16="http://schemas.microsoft.com/office/drawing/2014/chart" uri="{C3380CC4-5D6E-409C-BE32-E72D297353CC}">
              <c16:uniqueId val="{00000001-4A2E-49CC-B759-EDD086BE6C33}"/>
            </c:ext>
          </c:extLst>
        </c:ser>
        <c:ser>
          <c:idx val="2"/>
          <c:order val="2"/>
          <c:tx>
            <c:strRef>
              <c:f>'RAB charts'!$A$39</c:f>
              <c:strCache>
                <c:ptCount val="1"/>
                <c:pt idx="0">
                  <c:v>TNPP</c:v>
                </c:pt>
              </c:strCache>
            </c:strRef>
          </c:tx>
          <c:spPr>
            <a:solidFill>
              <a:schemeClr val="accent3"/>
            </a:solidFill>
            <a:ln>
              <a:noFill/>
            </a:ln>
            <a:effectLst/>
          </c:spPr>
          <c:invertIfNegative val="0"/>
          <c:cat>
            <c:strRef>
              <c:f>'RAB charts'!$B$36:$K$36</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charts'!$B$39:$K$39</c:f>
              <c:numCache>
                <c:formatCode>#,##0_ ;[Red]\-#,##0\ </c:formatCode>
                <c:ptCount val="10"/>
                <c:pt idx="0">
                  <c:v>2430.1981419144881</c:v>
                </c:pt>
                <c:pt idx="1">
                  <c:v>4751.3211788812105</c:v>
                </c:pt>
                <c:pt idx="2">
                  <c:v>7193.1640331600838</c:v>
                </c:pt>
                <c:pt idx="3">
                  <c:v>9033.8195984801168</c:v>
                </c:pt>
                <c:pt idx="4">
                  <c:v>11054.713560973069</c:v>
                </c:pt>
                <c:pt idx="5">
                  <c:v>14628.834108046098</c:v>
                </c:pt>
                <c:pt idx="6">
                  <c:v>18677.116365239905</c:v>
                </c:pt>
                <c:pt idx="7">
                  <c:v>21506.541022935322</c:v>
                </c:pt>
                <c:pt idx="8">
                  <c:v>19620.778019047262</c:v>
                </c:pt>
                <c:pt idx="9">
                  <c:v>12942.193549247291</c:v>
                </c:pt>
              </c:numCache>
            </c:numRef>
          </c:val>
          <c:extLst>
            <c:ext xmlns:c16="http://schemas.microsoft.com/office/drawing/2014/chart" uri="{C3380CC4-5D6E-409C-BE32-E72D297353CC}">
              <c16:uniqueId val="{00000002-4A2E-49CC-B759-EDD086BE6C33}"/>
            </c:ext>
          </c:extLst>
        </c:ser>
        <c:ser>
          <c:idx val="3"/>
          <c:order val="3"/>
          <c:tx>
            <c:strRef>
              <c:f>'RAB charts'!$A$40</c:f>
              <c:strCache>
                <c:ptCount val="1"/>
                <c:pt idx="0">
                  <c:v>Special projects</c:v>
                </c:pt>
              </c:strCache>
            </c:strRef>
          </c:tx>
          <c:spPr>
            <a:solidFill>
              <a:schemeClr val="accent4"/>
            </a:solidFill>
            <a:ln>
              <a:noFill/>
            </a:ln>
            <a:effectLst/>
          </c:spPr>
          <c:invertIfNegative val="0"/>
          <c:cat>
            <c:strRef>
              <c:f>'RAB charts'!$B$36:$K$36</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charts'!$B$40:$K$40</c:f>
              <c:numCache>
                <c:formatCode>#,##0_ ;[Red]\-#,##0\ </c:formatCode>
                <c:ptCount val="10"/>
                <c:pt idx="0">
                  <c:v>0</c:v>
                </c:pt>
                <c:pt idx="1">
                  <c:v>0</c:v>
                </c:pt>
                <c:pt idx="2">
                  <c:v>0</c:v>
                </c:pt>
                <c:pt idx="3">
                  <c:v>0</c:v>
                </c:pt>
                <c:pt idx="4">
                  <c:v>10460.570730946984</c:v>
                </c:pt>
                <c:pt idx="5">
                  <c:v>18733.887527974566</c:v>
                </c:pt>
                <c:pt idx="6">
                  <c:v>13777.233644518486</c:v>
                </c:pt>
                <c:pt idx="7">
                  <c:v>8582.6879348765397</c:v>
                </c:pt>
                <c:pt idx="8">
                  <c:v>3142.0747452379478</c:v>
                </c:pt>
                <c:pt idx="9">
                  <c:v>334.30253316222849</c:v>
                </c:pt>
              </c:numCache>
            </c:numRef>
          </c:val>
          <c:extLst>
            <c:ext xmlns:c16="http://schemas.microsoft.com/office/drawing/2014/chart" uri="{C3380CC4-5D6E-409C-BE32-E72D297353CC}">
              <c16:uniqueId val="{00000003-4A2E-49CC-B759-EDD086BE6C33}"/>
            </c:ext>
          </c:extLst>
        </c:ser>
        <c:dLbls>
          <c:showLegendKey val="0"/>
          <c:showVal val="0"/>
          <c:showCatName val="0"/>
          <c:showSerName val="0"/>
          <c:showPercent val="0"/>
          <c:showBubbleSize val="0"/>
        </c:dLbls>
        <c:gapWidth val="150"/>
        <c:overlap val="100"/>
        <c:axId val="371272672"/>
        <c:axId val="371272280"/>
      </c:barChart>
      <c:catAx>
        <c:axId val="37127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71272280"/>
        <c:crosses val="autoZero"/>
        <c:auto val="1"/>
        <c:lblAlgn val="ctr"/>
        <c:lblOffset val="100"/>
        <c:noMultiLvlLbl val="0"/>
      </c:catAx>
      <c:valAx>
        <c:axId val="371272280"/>
        <c:scaling>
          <c:orientation val="minMax"/>
          <c:max val="6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baseline="0">
                    <a:effectLst/>
                  </a:rPr>
                  <a:t>Average RAB value, £000s nominal</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272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'RAB charts'!$A$20</c:f>
              <c:strCache>
                <c:ptCount val="1"/>
                <c:pt idx="0">
                  <c:v>Notional equity at 55% gearing</c:v>
                </c:pt>
              </c:strCache>
            </c:strRef>
          </c:tx>
          <c:spPr>
            <a:solidFill>
              <a:schemeClr val="accent1"/>
            </a:solidFill>
            <a:ln>
              <a:noFill/>
            </a:ln>
            <a:effectLst/>
          </c:spPr>
          <c:invertIfNegative val="0"/>
          <c:cat>
            <c:strRef>
              <c:f>'RAB charts'!$B$19:$K$19</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charts'!$B$20:$K$20</c:f>
              <c:numCache>
                <c:formatCode>#,##0_ ;[Red]\-#,##0\ </c:formatCode>
                <c:ptCount val="10"/>
                <c:pt idx="0">
                  <c:v>4482.5083202426404</c:v>
                </c:pt>
                <c:pt idx="1">
                  <c:v>5404.0277981548843</c:v>
                </c:pt>
                <c:pt idx="2">
                  <c:v>6053.2013953505875</c:v>
                </c:pt>
                <c:pt idx="3">
                  <c:v>6970.5911458940418</c:v>
                </c:pt>
                <c:pt idx="4">
                  <c:v>16912.219352156277</c:v>
                </c:pt>
                <c:pt idx="5">
                  <c:v>18420.498289390529</c:v>
                </c:pt>
                <c:pt idx="6">
                  <c:v>19076.514857463921</c:v>
                </c:pt>
                <c:pt idx="7">
                  <c:v>17689.59961770675</c:v>
                </c:pt>
                <c:pt idx="8">
                  <c:v>12302.716122973179</c:v>
                </c:pt>
                <c:pt idx="9">
                  <c:v>8586.8271992731188</c:v>
                </c:pt>
              </c:numCache>
            </c:numRef>
          </c:val>
          <c:extLst>
            <c:ext xmlns:c16="http://schemas.microsoft.com/office/drawing/2014/chart" uri="{C3380CC4-5D6E-409C-BE32-E72D297353CC}">
              <c16:uniqueId val="{00000000-BAB2-411E-9E64-EE924EFCC93F}"/>
            </c:ext>
          </c:extLst>
        </c:ser>
        <c:ser>
          <c:idx val="1"/>
          <c:order val="1"/>
          <c:tx>
            <c:strRef>
              <c:f>'RAB charts'!$A$21</c:f>
              <c:strCache>
                <c:ptCount val="1"/>
                <c:pt idx="0">
                  <c:v>PCG</c:v>
                </c:pt>
              </c:strCache>
            </c:strRef>
          </c:tx>
          <c:spPr>
            <a:solidFill>
              <a:schemeClr val="accent2"/>
            </a:solidFill>
            <a:ln>
              <a:noFill/>
            </a:ln>
            <a:effectLst/>
          </c:spPr>
          <c:invertIfNegative val="0"/>
          <c:cat>
            <c:strRef>
              <c:f>'RAB charts'!$B$19:$K$19</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charts'!$B$21:$K$21</c:f>
              <c:numCache>
                <c:formatCode>#,##0_ ;[Red]\-#,##0\ </c:formatCode>
                <c:ptCount val="10"/>
                <c:pt idx="0">
                  <c:v>10000</c:v>
                </c:pt>
                <c:pt idx="1">
                  <c:v>10000</c:v>
                </c:pt>
                <c:pt idx="2">
                  <c:v>10000</c:v>
                </c:pt>
                <c:pt idx="3">
                  <c:v>10000</c:v>
                </c:pt>
                <c:pt idx="4">
                  <c:v>10000</c:v>
                </c:pt>
                <c:pt idx="5">
                  <c:v>10000</c:v>
                </c:pt>
                <c:pt idx="6">
                  <c:v>10000</c:v>
                </c:pt>
                <c:pt idx="7">
                  <c:v>10000</c:v>
                </c:pt>
                <c:pt idx="8">
                  <c:v>10000</c:v>
                </c:pt>
                <c:pt idx="9">
                  <c:v>10000</c:v>
                </c:pt>
              </c:numCache>
            </c:numRef>
          </c:val>
          <c:extLst>
            <c:ext xmlns:c16="http://schemas.microsoft.com/office/drawing/2014/chart" uri="{C3380CC4-5D6E-409C-BE32-E72D297353CC}">
              <c16:uniqueId val="{00000001-BAB2-411E-9E64-EE924EFCC93F}"/>
            </c:ext>
          </c:extLst>
        </c:ser>
        <c:dLbls>
          <c:showLegendKey val="0"/>
          <c:showVal val="0"/>
          <c:showCatName val="0"/>
          <c:showSerName val="0"/>
          <c:showPercent val="0"/>
          <c:showBubbleSize val="0"/>
        </c:dLbls>
        <c:gapWidth val="150"/>
        <c:overlap val="100"/>
        <c:axId val="371270712"/>
        <c:axId val="371269928"/>
      </c:barChart>
      <c:catAx>
        <c:axId val="371270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371269928"/>
        <c:crosses val="autoZero"/>
        <c:auto val="1"/>
        <c:lblAlgn val="ctr"/>
        <c:lblOffset val="100"/>
        <c:noMultiLvlLbl val="0"/>
      </c:catAx>
      <c:valAx>
        <c:axId val="371269928"/>
        <c:scaling>
          <c:orientation val="minMax"/>
          <c:max val="4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£000s</a:t>
                </a:r>
                <a:r>
                  <a:rPr lang="en-GB" baseline="0"/>
                  <a:t> nominal</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270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'RAB charts'!$A$23</c:f>
              <c:strCache>
                <c:ptCount val="1"/>
                <c:pt idx="0">
                  <c:v>Notional equity at 40% gearing (from 2020/21)</c:v>
                </c:pt>
              </c:strCache>
            </c:strRef>
          </c:tx>
          <c:spPr>
            <a:solidFill>
              <a:schemeClr val="accent1"/>
            </a:solidFill>
            <a:ln>
              <a:noFill/>
            </a:ln>
            <a:effectLst/>
          </c:spPr>
          <c:invertIfNegative val="0"/>
          <c:cat>
            <c:strRef>
              <c:f>'RAB charts'!$B$22:$K$22</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charts'!$B$23:$K$23</c:f>
              <c:numCache>
                <c:formatCode>#,##0_ ;[Red]\-#,##0\ </c:formatCode>
                <c:ptCount val="10"/>
                <c:pt idx="0">
                  <c:v>4482.5083202426404</c:v>
                </c:pt>
                <c:pt idx="1">
                  <c:v>5404.0277981548843</c:v>
                </c:pt>
                <c:pt idx="2">
                  <c:v>6053.2013953505875</c:v>
                </c:pt>
                <c:pt idx="3">
                  <c:v>6970.5911458940418</c:v>
                </c:pt>
                <c:pt idx="4">
                  <c:v>16912.219352156277</c:v>
                </c:pt>
                <c:pt idx="5">
                  <c:v>24560.664385854041</c:v>
                </c:pt>
                <c:pt idx="6">
                  <c:v>25435.353143285229</c:v>
                </c:pt>
                <c:pt idx="7">
                  <c:v>23586.132823609001</c:v>
                </c:pt>
                <c:pt idx="8">
                  <c:v>16403.621497297572</c:v>
                </c:pt>
                <c:pt idx="9">
                  <c:v>11449.10293236416</c:v>
                </c:pt>
              </c:numCache>
            </c:numRef>
          </c:val>
          <c:extLst>
            <c:ext xmlns:c16="http://schemas.microsoft.com/office/drawing/2014/chart" uri="{C3380CC4-5D6E-409C-BE32-E72D297353CC}">
              <c16:uniqueId val="{00000000-8D1D-4BB9-B00F-76F118522ADD}"/>
            </c:ext>
          </c:extLst>
        </c:ser>
        <c:ser>
          <c:idx val="1"/>
          <c:order val="1"/>
          <c:tx>
            <c:strRef>
              <c:f>'RAB charts'!$A$24</c:f>
              <c:strCache>
                <c:ptCount val="1"/>
                <c:pt idx="0">
                  <c:v>PCG</c:v>
                </c:pt>
              </c:strCache>
            </c:strRef>
          </c:tx>
          <c:spPr>
            <a:solidFill>
              <a:schemeClr val="accent2"/>
            </a:solidFill>
            <a:ln>
              <a:noFill/>
            </a:ln>
            <a:effectLst/>
          </c:spPr>
          <c:invertIfNegative val="0"/>
          <c:cat>
            <c:strRef>
              <c:f>'RAB charts'!$B$22:$K$22</c:f>
              <c:strCache>
                <c:ptCount val="10"/>
                <c:pt idx="0">
                  <c:v>2015/16</c:v>
                </c:pt>
                <c:pt idx="1">
                  <c:v>2016/17</c:v>
                </c:pt>
                <c:pt idx="2">
                  <c:v>2017/18</c:v>
                </c:pt>
                <c:pt idx="3">
                  <c:v>2018/19</c:v>
                </c:pt>
                <c:pt idx="4">
                  <c:v>2019/20</c:v>
                </c:pt>
                <c:pt idx="5">
                  <c:v>2020/21</c:v>
                </c:pt>
                <c:pt idx="6">
                  <c:v>2021/22</c:v>
                </c:pt>
                <c:pt idx="7">
                  <c:v>2022/23</c:v>
                </c:pt>
                <c:pt idx="8">
                  <c:v>2023/24</c:v>
                </c:pt>
                <c:pt idx="9">
                  <c:v>2024/25</c:v>
                </c:pt>
              </c:strCache>
            </c:strRef>
          </c:cat>
          <c:val>
            <c:numRef>
              <c:f>'RAB charts'!$B$24:$K$24</c:f>
              <c:numCache>
                <c:formatCode>#,##0_ ;[Red]\-#,##0\ </c:formatCode>
                <c:ptCount val="10"/>
                <c:pt idx="0">
                  <c:v>10000</c:v>
                </c:pt>
                <c:pt idx="1">
                  <c:v>10000</c:v>
                </c:pt>
                <c:pt idx="2">
                  <c:v>10000</c:v>
                </c:pt>
                <c:pt idx="3">
                  <c:v>10000</c:v>
                </c:pt>
                <c:pt idx="4">
                  <c:v>10000</c:v>
                </c:pt>
                <c:pt idx="5">
                  <c:v>10000</c:v>
                </c:pt>
                <c:pt idx="6">
                  <c:v>10000</c:v>
                </c:pt>
                <c:pt idx="7">
                  <c:v>10000</c:v>
                </c:pt>
                <c:pt idx="8">
                  <c:v>10000</c:v>
                </c:pt>
                <c:pt idx="9">
                  <c:v>10000</c:v>
                </c:pt>
              </c:numCache>
            </c:numRef>
          </c:val>
          <c:extLst>
            <c:ext xmlns:c16="http://schemas.microsoft.com/office/drawing/2014/chart" uri="{C3380CC4-5D6E-409C-BE32-E72D297353CC}">
              <c16:uniqueId val="{00000001-A699-40C5-85C8-4972BE587102}"/>
            </c:ext>
          </c:extLst>
        </c:ser>
        <c:dLbls>
          <c:showLegendKey val="0"/>
          <c:showVal val="0"/>
          <c:showCatName val="0"/>
          <c:showSerName val="0"/>
          <c:showPercent val="0"/>
          <c:showBubbleSize val="0"/>
        </c:dLbls>
        <c:gapWidth val="219"/>
        <c:overlap val="100"/>
        <c:axId val="524949096"/>
        <c:axId val="524949488"/>
      </c:barChart>
      <c:catAx>
        <c:axId val="524949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524949488"/>
        <c:crosses val="autoZero"/>
        <c:auto val="1"/>
        <c:lblAlgn val="ctr"/>
        <c:lblOffset val="100"/>
        <c:noMultiLvlLbl val="0"/>
      </c:catAx>
      <c:valAx>
        <c:axId val="5249494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000" b="0" i="0" u="none" strike="noStrike" baseline="0">
                    <a:effectLst/>
                  </a:rPr>
                  <a:t>£000s nominal</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949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3002059</xdr:colOff>
      <xdr:row>21</xdr:row>
      <xdr:rowOff>174503</xdr:rowOff>
    </xdr:from>
    <xdr:to>
      <xdr:col>7</xdr:col>
      <xdr:colOff>213181</xdr:colOff>
      <xdr:row>41</xdr:row>
      <xdr:rowOff>89958</xdr:rowOff>
    </xdr:to>
    <xdr:graphicFrame macro="">
      <xdr:nvGraphicFramePr>
        <xdr:cNvPr id="2" name="Chart 1">
          <a:extLst>
            <a:ext uri="{FF2B5EF4-FFF2-40B4-BE49-F238E27FC236}">
              <a16:creationId xmlns:a16="http://schemas.microsoft.com/office/drawing/2014/main" id="{93FA8CC1-52B9-49FD-8D75-7C07DA8C57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104510</xdr:colOff>
      <xdr:row>61</xdr:row>
      <xdr:rowOff>178527</xdr:rowOff>
    </xdr:from>
    <xdr:to>
      <xdr:col>3</xdr:col>
      <xdr:colOff>390260</xdr:colOff>
      <xdr:row>77</xdr:row>
      <xdr:rowOff>62905</xdr:rowOff>
    </xdr:to>
    <xdr:graphicFrame macro="">
      <xdr:nvGraphicFramePr>
        <xdr:cNvPr id="3" name="Chart 2">
          <a:extLst>
            <a:ext uri="{FF2B5EF4-FFF2-40B4-BE49-F238E27FC236}">
              <a16:creationId xmlns:a16="http://schemas.microsoft.com/office/drawing/2014/main" id="{F7BAB7A1-B825-40AB-83E1-8542DB9517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558932</xdr:colOff>
      <xdr:row>62</xdr:row>
      <xdr:rowOff>20439</xdr:rowOff>
    </xdr:from>
    <xdr:to>
      <xdr:col>10</xdr:col>
      <xdr:colOff>130307</xdr:colOff>
      <xdr:row>77</xdr:row>
      <xdr:rowOff>84733</xdr:rowOff>
    </xdr:to>
    <xdr:graphicFrame macro="">
      <xdr:nvGraphicFramePr>
        <xdr:cNvPr id="4" name="Chart 3">
          <a:extLst>
            <a:ext uri="{FF2B5EF4-FFF2-40B4-BE49-F238E27FC236}">
              <a16:creationId xmlns:a16="http://schemas.microsoft.com/office/drawing/2014/main" id="{4B0AC185-0149-4A91-BB5C-5BF4DAE134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71438</xdr:colOff>
      <xdr:row>40</xdr:row>
      <xdr:rowOff>83938</xdr:rowOff>
    </xdr:from>
    <xdr:to>
      <xdr:col>3</xdr:col>
      <xdr:colOff>220266</xdr:colOff>
      <xdr:row>55</xdr:row>
      <xdr:rowOff>148232</xdr:rowOff>
    </xdr:to>
    <xdr:graphicFrame macro="">
      <xdr:nvGraphicFramePr>
        <xdr:cNvPr id="5" name="Chart 4">
          <a:extLst>
            <a:ext uri="{FF2B5EF4-FFF2-40B4-BE49-F238E27FC236}">
              <a16:creationId xmlns:a16="http://schemas.microsoft.com/office/drawing/2014/main" id="{1550715E-9225-4C0E-9875-3272D6A408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523875</xdr:colOff>
      <xdr:row>40</xdr:row>
      <xdr:rowOff>18454</xdr:rowOff>
    </xdr:from>
    <xdr:to>
      <xdr:col>10</xdr:col>
      <xdr:colOff>113110</xdr:colOff>
      <xdr:row>55</xdr:row>
      <xdr:rowOff>154781</xdr:rowOff>
    </xdr:to>
    <xdr:graphicFrame macro="">
      <xdr:nvGraphicFramePr>
        <xdr:cNvPr id="6" name="Chart 5">
          <a:extLst>
            <a:ext uri="{FF2B5EF4-FFF2-40B4-BE49-F238E27FC236}">
              <a16:creationId xmlns:a16="http://schemas.microsoft.com/office/drawing/2014/main" id="{7797DA34-280A-42B3-84B1-AD776C73A8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609599</xdr:colOff>
      <xdr:row>4</xdr:row>
      <xdr:rowOff>95250</xdr:rowOff>
    </xdr:from>
    <xdr:to>
      <xdr:col>1</xdr:col>
      <xdr:colOff>2933700</xdr:colOff>
      <xdr:row>7</xdr:row>
      <xdr:rowOff>104775</xdr:rowOff>
    </xdr:to>
    <xdr:pic>
      <xdr:nvPicPr>
        <xdr:cNvPr id="2" name="Picture 1" descr="UtilityRegulator">
          <a:extLst>
            <a:ext uri="{FF2B5EF4-FFF2-40B4-BE49-F238E27FC236}">
              <a16:creationId xmlns:a16="http://schemas.microsoft.com/office/drawing/2014/main" id="{E716B073-773A-4C7F-B05A-34EE7A37F3F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95250"/>
          <a:ext cx="2933700" cy="5524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609599</xdr:colOff>
      <xdr:row>4</xdr:row>
      <xdr:rowOff>95250</xdr:rowOff>
    </xdr:from>
    <xdr:to>
      <xdr:col>1</xdr:col>
      <xdr:colOff>2933700</xdr:colOff>
      <xdr:row>7</xdr:row>
      <xdr:rowOff>104775</xdr:rowOff>
    </xdr:to>
    <xdr:pic>
      <xdr:nvPicPr>
        <xdr:cNvPr id="2" name="Picture 1" descr="UtilityRegulator">
          <a:extLst>
            <a:ext uri="{FF2B5EF4-FFF2-40B4-BE49-F238E27FC236}">
              <a16:creationId xmlns:a16="http://schemas.microsoft.com/office/drawing/2014/main" id="{ABFA9B26-2383-403F-A6F6-60A84C1E911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819150"/>
          <a:ext cx="2933700" cy="5524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92003</xdr:colOff>
      <xdr:row>2</xdr:row>
      <xdr:rowOff>25978</xdr:rowOff>
    </xdr:from>
    <xdr:to>
      <xdr:col>1</xdr:col>
      <xdr:colOff>1932059</xdr:colOff>
      <xdr:row>4</xdr:row>
      <xdr:rowOff>164523</xdr:rowOff>
    </xdr:to>
    <xdr:pic>
      <xdr:nvPicPr>
        <xdr:cNvPr id="2" name="Picture 1" descr="UtilityRegulator">
          <a:extLst>
            <a:ext uri="{FF2B5EF4-FFF2-40B4-BE49-F238E27FC236}">
              <a16:creationId xmlns:a16="http://schemas.microsoft.com/office/drawing/2014/main" id="{C2229669-2C8E-42EE-9E7C-1FA5051A287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6765" y="30740"/>
          <a:ext cx="1835294" cy="50049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1</xdr:row>
      <xdr:rowOff>0</xdr:rowOff>
    </xdr:from>
    <xdr:to>
      <xdr:col>2</xdr:col>
      <xdr:colOff>719138</xdr:colOff>
      <xdr:row>4</xdr:row>
      <xdr:rowOff>0</xdr:rowOff>
    </xdr:to>
    <xdr:pic>
      <xdr:nvPicPr>
        <xdr:cNvPr id="2" name="Picture 1" descr="UtilityRegulator">
          <a:extLst>
            <a:ext uri="{FF2B5EF4-FFF2-40B4-BE49-F238E27FC236}">
              <a16:creationId xmlns:a16="http://schemas.microsoft.com/office/drawing/2014/main" id="{170EFDFB-8F37-449B-9CB5-CD8C7C1CFCB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 y="0"/>
          <a:ext cx="2514599" cy="54292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108455</xdr:colOff>
      <xdr:row>0</xdr:row>
      <xdr:rowOff>159328</xdr:rowOff>
    </xdr:from>
    <xdr:to>
      <xdr:col>2</xdr:col>
      <xdr:colOff>601158</xdr:colOff>
      <xdr:row>3</xdr:row>
      <xdr:rowOff>107373</xdr:rowOff>
    </xdr:to>
    <xdr:pic>
      <xdr:nvPicPr>
        <xdr:cNvPr id="2" name="Picture 1" descr="UtilityRegulator">
          <a:extLst>
            <a:ext uri="{FF2B5EF4-FFF2-40B4-BE49-F238E27FC236}">
              <a16:creationId xmlns:a16="http://schemas.microsoft.com/office/drawing/2014/main" id="{92C494F3-B8B2-4F3A-A529-CFCE0FDFA7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8455" y="159328"/>
          <a:ext cx="2169103" cy="490970"/>
        </a:xfrm>
        <a:prstGeom prst="rect">
          <a:avLst/>
        </a:prstGeom>
        <a:noFill/>
      </xdr:spPr>
    </xdr:pic>
    <xdr:clientData/>
  </xdr:twoCellAnchor>
  <xdr:twoCellAnchor>
    <xdr:from>
      <xdr:col>3</xdr:col>
      <xdr:colOff>0</xdr:colOff>
      <xdr:row>0</xdr:row>
      <xdr:rowOff>121920</xdr:rowOff>
    </xdr:from>
    <xdr:to>
      <xdr:col>20</xdr:col>
      <xdr:colOff>426720</xdr:colOff>
      <xdr:row>3</xdr:row>
      <xdr:rowOff>45720</xdr:rowOff>
    </xdr:to>
    <xdr:sp macro="" textlink="">
      <xdr:nvSpPr>
        <xdr:cNvPr id="3" name="TextBox 2">
          <a:extLst>
            <a:ext uri="{FF2B5EF4-FFF2-40B4-BE49-F238E27FC236}">
              <a16:creationId xmlns:a16="http://schemas.microsoft.com/office/drawing/2014/main" id="{078DAE19-C165-4F40-ADFF-14D5A375BDBB}"/>
            </a:ext>
          </a:extLst>
        </xdr:cNvPr>
        <xdr:cNvSpPr txBox="1"/>
      </xdr:nvSpPr>
      <xdr:spPr>
        <a:xfrm>
          <a:off x="3819525" y="121920"/>
          <a:ext cx="8389620" cy="4667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t>This</a:t>
          </a:r>
          <a:r>
            <a:rPr lang="en-IE" sz="1100" baseline="0"/>
            <a:t> Tab includes historic nominal figures from 2015/16 to 2017/18, April 2019 RPI figures for 2018/19 and 2019/20, April 2019 CPIH figures from 2020/21 to 2024/25.  Figures for all three can be made available on request for all years.</a:t>
          </a:r>
          <a:endParaRPr lang="en-I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ankar\AppData\Local\Temp\Temp1_final_determinations_technical_annexes_part_one.zip\Final%20Determinations%20-%20ESO%20Licence%20Mode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MMON%20AREA/SONI%20Price%20Control/Price%20Control%202015%20to%202020/Board%20papers/Aug%20BAF%20-%20FD%20Discusssion/2015-08-13%20Draft%20SONI%20financial%20model%20v%205.3%20s6%20WACC%20calc%20-%20used%20for%20Aug%20Board%20pap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UserInterface"/>
      <sheetName val="Model Map"/>
      <sheetName val="FinancialStatements"/>
      <sheetName val="FinancialRatios"/>
      <sheetName val="FinRatios RoRE decomposition"/>
      <sheetName val="RatingSimulator"/>
      <sheetName val="OutputSummary"/>
      <sheetName val="ScenarioRun_AllOutputData"/>
      <sheetName val="RoRE ranges"/>
      <sheetName val="Tables"/>
      <sheetName val="LiveResults"/>
      <sheetName val="SavedResults"/>
      <sheetName val="SystemOperator"/>
      <sheetName val="AR"/>
      <sheetName val="NGESO (Scenarios)"/>
      <sheetName val="CA active scenario"/>
      <sheetName val="ESO Company Proposal"/>
      <sheetName val="Ofgem FD Forecast"/>
      <sheetName val="Ofgem DD Forecast"/>
      <sheetName val="RIIO-1 revenue and char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38">
          <cell r="V138">
            <v>0.61373134539088225</v>
          </cell>
          <cell r="W138">
            <v>0.62658661245005465</v>
          </cell>
          <cell r="X138">
            <v>0.64408700072006453</v>
          </cell>
          <cell r="Y138">
            <v>0.66411820350996109</v>
          </cell>
          <cell r="Z138">
            <v>0.68161859177997108</v>
          </cell>
          <cell r="AA138">
            <v>0.70706439634602647</v>
          </cell>
          <cell r="AB138">
            <v>0.73627289028195486</v>
          </cell>
          <cell r="AC138">
            <v>0.75812543239160224</v>
          </cell>
          <cell r="AD138">
            <v>0.76159868411763898</v>
          </cell>
          <cell r="AE138">
            <v>0.79939500472983493</v>
          </cell>
          <cell r="AF138">
            <v>0.83775255199288434</v>
          </cell>
          <cell r="AG138">
            <v>0.86363604275205808</v>
          </cell>
          <cell r="AH138">
            <v>0.88854885848617071</v>
          </cell>
          <cell r="AI138">
            <v>0.90596453329944804</v>
          </cell>
          <cell r="AJ138">
            <v>0.91572775918788052</v>
          </cell>
          <cell r="AK138">
            <v>0.93534951360356955</v>
          </cell>
          <cell r="AL138">
            <v>0.97035029014358953</v>
          </cell>
          <cell r="AM138">
            <v>1</v>
          </cell>
          <cell r="AN138">
            <v>1.0245986699987293</v>
          </cell>
          <cell r="AO138">
            <v>1.0482160757903061</v>
          </cell>
          <cell r="AP138">
            <v>1.0677647632207399</v>
          </cell>
          <cell r="AQ138">
            <v>1.0897272222079817</v>
          </cell>
          <cell r="AR138">
            <v>1.1119854397654254</v>
          </cell>
          <cell r="AS138">
            <v>1.1344535505017219</v>
          </cell>
          <cell r="AT138">
            <v>1.1573700693928406</v>
          </cell>
        </row>
      </sheetData>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alc1"/>
      <sheetName val="Calc2"/>
      <sheetName val="Bt"/>
      <sheetName val="P&amp;L"/>
      <sheetName val="Cash flow"/>
      <sheetName val="Balance sheet"/>
      <sheetName val="Ratios"/>
    </sheetNames>
    <sheetDataSet>
      <sheetData sheetId="0">
        <row r="5">
          <cell r="B5">
            <v>39173</v>
          </cell>
          <cell r="C5">
            <v>39539</v>
          </cell>
          <cell r="D5">
            <v>39904</v>
          </cell>
          <cell r="E5">
            <v>40269</v>
          </cell>
          <cell r="F5">
            <v>40634</v>
          </cell>
          <cell r="G5">
            <v>41000</v>
          </cell>
          <cell r="H5">
            <v>41365</v>
          </cell>
          <cell r="I5">
            <v>41730</v>
          </cell>
          <cell r="J5">
            <v>42095</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B4DDB-597E-4136-9F8F-1FBCACE29E36}">
  <sheetPr>
    <tabColor rgb="FFFF0000"/>
  </sheetPr>
  <dimension ref="A1:A7"/>
  <sheetViews>
    <sheetView showGridLines="0" tabSelected="1" zoomScale="80" zoomScaleNormal="80" workbookViewId="0"/>
  </sheetViews>
  <sheetFormatPr defaultColWidth="8.6640625" defaultRowHeight="14.25"/>
  <cols>
    <col min="1" max="1" width="182" style="285" customWidth="1"/>
    <col min="2" max="2" width="11.33203125" style="285" customWidth="1"/>
    <col min="3" max="3" width="12.1328125" style="285" customWidth="1"/>
    <col min="4" max="23" width="10.33203125" style="285" customWidth="1"/>
    <col min="24" max="16384" width="8.6640625" style="285"/>
  </cols>
  <sheetData>
    <row r="1" spans="1:1" ht="18">
      <c r="A1" s="256" t="s">
        <v>689</v>
      </c>
    </row>
    <row r="4" spans="1:1">
      <c r="A4" s="1" t="s">
        <v>674</v>
      </c>
    </row>
    <row r="5" spans="1:1" ht="28.5">
      <c r="A5" s="332" t="s">
        <v>690</v>
      </c>
    </row>
    <row r="6" spans="1:1">
      <c r="A6" s="332"/>
    </row>
    <row r="7" spans="1:1" ht="57">
      <c r="A7" s="332" t="s">
        <v>669</v>
      </c>
    </row>
  </sheetData>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5156-6755-4827-A0B7-5520AE699ABD}">
  <sheetPr>
    <tabColor theme="9" tint="0.59999389629810485"/>
  </sheetPr>
  <dimension ref="A1:AG31"/>
  <sheetViews>
    <sheetView showGridLines="0" zoomScale="80" zoomScaleNormal="80" workbookViewId="0"/>
  </sheetViews>
  <sheetFormatPr defaultColWidth="8.6640625" defaultRowHeight="14.25"/>
  <cols>
    <col min="1" max="1" width="42.33203125" style="285" customWidth="1"/>
    <col min="2" max="2" width="10.6640625" style="285" customWidth="1"/>
    <col min="3" max="22" width="10.33203125" style="285" customWidth="1"/>
    <col min="23" max="16384" width="8.6640625" style="285"/>
  </cols>
  <sheetData>
    <row r="1" spans="1:19" ht="18">
      <c r="A1" s="256" t="s">
        <v>581</v>
      </c>
    </row>
    <row r="2" spans="1:19">
      <c r="A2" s="285" t="s">
        <v>582</v>
      </c>
      <c r="B2" s="227"/>
      <c r="C2" s="227"/>
      <c r="D2" s="227"/>
      <c r="E2" s="227"/>
      <c r="F2" s="227"/>
      <c r="G2" s="227"/>
      <c r="H2" s="227"/>
      <c r="I2" s="227"/>
      <c r="J2" s="227"/>
      <c r="K2" s="227"/>
      <c r="L2" s="227"/>
      <c r="M2" s="227"/>
    </row>
    <row r="3" spans="1:19">
      <c r="A3"/>
      <c r="B3" s="388" t="s">
        <v>360</v>
      </c>
      <c r="C3" s="388" t="s">
        <v>361</v>
      </c>
      <c r="D3" s="388" t="s">
        <v>362</v>
      </c>
      <c r="E3" s="388" t="s">
        <v>363</v>
      </c>
      <c r="F3" s="388" t="s">
        <v>364</v>
      </c>
      <c r="G3" s="388" t="s">
        <v>365</v>
      </c>
      <c r="H3" s="388" t="s">
        <v>366</v>
      </c>
      <c r="I3" s="388" t="s">
        <v>367</v>
      </c>
      <c r="J3" s="388" t="s">
        <v>368</v>
      </c>
      <c r="K3" s="388" t="s">
        <v>369</v>
      </c>
      <c r="L3" s="388" t="s">
        <v>370</v>
      </c>
      <c r="M3" s="388" t="s">
        <v>371</v>
      </c>
      <c r="N3" s="388" t="s">
        <v>372</v>
      </c>
      <c r="O3" s="388" t="s">
        <v>373</v>
      </c>
      <c r="P3" s="388" t="s">
        <v>374</v>
      </c>
      <c r="Q3" s="388" t="s">
        <v>375</v>
      </c>
      <c r="R3" s="388" t="s">
        <v>376</v>
      </c>
      <c r="S3" s="388" t="s">
        <v>236</v>
      </c>
    </row>
    <row r="4" spans="1:19">
      <c r="A4" t="s">
        <v>377</v>
      </c>
      <c r="B4" s="223">
        <v>9.0228014436542076E-4</v>
      </c>
      <c r="C4" s="223">
        <v>3.7853468981048702E-3</v>
      </c>
      <c r="D4" s="223">
        <v>1.5083937577596226E-3</v>
      </c>
      <c r="E4" s="223">
        <v>2.335625819894209E-3</v>
      </c>
      <c r="F4" s="223">
        <v>1.4030315044924468E-4</v>
      </c>
      <c r="G4" s="223">
        <v>2.937277716202516E-3</v>
      </c>
      <c r="H4" s="223">
        <v>2.3523466050787215E-3</v>
      </c>
      <c r="I4" s="223">
        <v>3.6814625305138446E-3</v>
      </c>
      <c r="J4" s="223">
        <v>2.3458121070477206E-3</v>
      </c>
      <c r="K4" s="223">
        <v>1.2557713854091518E-3</v>
      </c>
      <c r="L4" s="223">
        <v>2.8360696558208526E-4</v>
      </c>
      <c r="M4" s="223">
        <v>3.0762802230094519E-3</v>
      </c>
      <c r="N4" s="223">
        <v>3.5785044429592835E-3</v>
      </c>
      <c r="O4" s="223">
        <v>4.3517883894147319E-4</v>
      </c>
      <c r="P4" s="223">
        <v>2.1640561048313009E-3</v>
      </c>
      <c r="Q4" s="223">
        <v>3.3272665765932893E-3</v>
      </c>
      <c r="R4" s="223">
        <v>3.7420884436626875E-3</v>
      </c>
      <c r="S4" s="269">
        <f t="shared" ref="S4:S16" si="0">AVERAGE(B4:R4)</f>
        <v>2.2265648064944054E-3</v>
      </c>
    </row>
    <row r="5" spans="1:19">
      <c r="A5" t="s">
        <v>378</v>
      </c>
      <c r="B5" s="223">
        <v>-7.2763959105908577E-4</v>
      </c>
      <c r="C5" s="223">
        <v>-3.7825088339554641E-3</v>
      </c>
      <c r="D5" s="223">
        <v>-1.5083937577596226E-3</v>
      </c>
      <c r="E5" s="223">
        <v>-2.3346705861762435E-3</v>
      </c>
      <c r="F5" s="223">
        <v>-4.817798562036929E-4</v>
      </c>
      <c r="G5" s="223">
        <v>-2.9372777162025229E-3</v>
      </c>
      <c r="H5" s="223">
        <v>-2.3523466050787284E-3</v>
      </c>
      <c r="I5" s="223">
        <v>-3.1735931042105314E-3</v>
      </c>
      <c r="J5" s="223">
        <v>-2.3458121070477206E-3</v>
      </c>
      <c r="K5" s="223">
        <v>-1.3218646162201572E-3</v>
      </c>
      <c r="L5" s="223">
        <v>-2.8805055317588507E-4</v>
      </c>
      <c r="M5" s="223">
        <v>-3.0762802230094657E-3</v>
      </c>
      <c r="N5" s="223">
        <v>-4.3136369876955391E-3</v>
      </c>
      <c r="O5" s="223">
        <v>-2.8168213176923973E-4</v>
      </c>
      <c r="P5" s="223">
        <v>-2.164056104831294E-3</v>
      </c>
      <c r="Q5" s="223">
        <v>-2.1808495190009727E-3</v>
      </c>
      <c r="R5" s="223">
        <v>-3.7420884436626806E-3</v>
      </c>
      <c r="S5" s="269">
        <f t="shared" si="0"/>
        <v>-2.1772076904152263E-3</v>
      </c>
    </row>
    <row r="6" spans="1:19">
      <c r="A6" t="s">
        <v>379</v>
      </c>
      <c r="B6" s="223">
        <v>4.6318661017772447E-3</v>
      </c>
      <c r="C6" s="223">
        <v>1.0943416263277488E-2</v>
      </c>
      <c r="D6" s="223">
        <v>4.6935588041390891E-3</v>
      </c>
      <c r="E6" s="223">
        <v>4.235141669560398E-3</v>
      </c>
      <c r="F6" s="223">
        <v>3.5561129887707738E-3</v>
      </c>
      <c r="G6" s="223">
        <v>4.1159893712745255E-3</v>
      </c>
      <c r="H6" s="223">
        <v>3.1636537800703093E-3</v>
      </c>
      <c r="I6" s="223">
        <v>3.2309664125140039E-3</v>
      </c>
      <c r="J6" s="223">
        <v>2.930779457188927E-3</v>
      </c>
      <c r="K6" s="223">
        <v>3.4682854083536788E-3</v>
      </c>
      <c r="L6" s="223">
        <v>3.202706661423721E-3</v>
      </c>
      <c r="M6" s="223">
        <v>8.0199315878122998E-3</v>
      </c>
      <c r="N6" s="223">
        <v>7.774614214061025E-3</v>
      </c>
      <c r="O6" s="223">
        <v>8.2474871365489713E-3</v>
      </c>
      <c r="P6" s="223">
        <v>6.399987740118393E-3</v>
      </c>
      <c r="Q6" s="223">
        <v>1.3488398802008694E-2</v>
      </c>
      <c r="R6" s="223">
        <v>8.0039723847634137E-3</v>
      </c>
      <c r="S6" s="269">
        <f t="shared" si="0"/>
        <v>5.8886393402154671E-3</v>
      </c>
    </row>
    <row r="7" spans="1:19">
      <c r="A7" t="s">
        <v>380</v>
      </c>
      <c r="B7" s="223">
        <v>-6.0439272870253802E-3</v>
      </c>
      <c r="C7" s="223">
        <v>-1.25901353975841E-2</v>
      </c>
      <c r="D7" s="223">
        <v>-5.6287763223242734E-3</v>
      </c>
      <c r="E7" s="223">
        <v>-5.3200187465724386E-3</v>
      </c>
      <c r="F7" s="223">
        <v>-4.5441140519151546E-3</v>
      </c>
      <c r="G7" s="223">
        <v>-5.4949871987898108E-3</v>
      </c>
      <c r="H7" s="223">
        <v>-3.7107200167284735E-3</v>
      </c>
      <c r="I7" s="223">
        <v>-3.766162821548881E-3</v>
      </c>
      <c r="J7" s="223">
        <v>-3.6701490849081128E-3</v>
      </c>
      <c r="K7" s="223">
        <v>-4.1555002607518918E-3</v>
      </c>
      <c r="L7" s="223">
        <v>-3.6038980213698724E-3</v>
      </c>
      <c r="M7" s="223">
        <v>-1.0270974516766944E-2</v>
      </c>
      <c r="N7" s="223">
        <v>-9.6826188107413252E-3</v>
      </c>
      <c r="O7" s="223">
        <v>-9.1375802452434915E-3</v>
      </c>
      <c r="P7" s="223">
        <v>-8.8346474276200376E-3</v>
      </c>
      <c r="Q7" s="223">
        <v>-1.7527591553414337E-2</v>
      </c>
      <c r="R7" s="223">
        <v>-1.0313894484848617E-2</v>
      </c>
      <c r="S7" s="269">
        <f t="shared" si="0"/>
        <v>-7.3115115440090086E-3</v>
      </c>
    </row>
    <row r="8" spans="1:19">
      <c r="A8" t="s">
        <v>381</v>
      </c>
      <c r="B8" s="223">
        <v>0</v>
      </c>
      <c r="C8" s="223">
        <v>2.3997589275343914E-3</v>
      </c>
      <c r="D8" s="223">
        <v>2.6315917488643273E-3</v>
      </c>
      <c r="E8" s="223">
        <v>3.2762954488338436E-4</v>
      </c>
      <c r="F8" s="223">
        <v>0</v>
      </c>
      <c r="G8" s="223">
        <v>0</v>
      </c>
      <c r="H8" s="223">
        <v>0</v>
      </c>
      <c r="I8" s="223">
        <v>5.2236067772836597E-4</v>
      </c>
      <c r="J8" s="223">
        <v>3.5140036698053656E-3</v>
      </c>
      <c r="K8" s="223">
        <v>1.4566991213214794E-3</v>
      </c>
      <c r="L8" s="223">
        <v>2.7270877049353076E-3</v>
      </c>
      <c r="M8" s="223">
        <v>3.9299815642610397E-3</v>
      </c>
      <c r="N8" s="223">
        <v>4.2706155466878254E-4</v>
      </c>
      <c r="O8" s="223">
        <v>3.2816018694759308E-3</v>
      </c>
      <c r="P8" s="223">
        <v>1.3485248001107036E-4</v>
      </c>
      <c r="Q8" s="223">
        <v>1.100443634406971E-3</v>
      </c>
      <c r="R8" s="223">
        <v>1.1583970775761315E-3</v>
      </c>
      <c r="S8" s="269">
        <f t="shared" si="0"/>
        <v>1.388909975027797E-3</v>
      </c>
    </row>
    <row r="9" spans="1:19">
      <c r="A9" t="s">
        <v>382</v>
      </c>
      <c r="B9" s="223">
        <v>-1.0011224223383311E-3</v>
      </c>
      <c r="C9" s="223">
        <v>-4.2786315700260522E-3</v>
      </c>
      <c r="D9" s="223">
        <v>-2.9539631744191705E-3</v>
      </c>
      <c r="E9" s="223">
        <v>-8.8728625005932843E-4</v>
      </c>
      <c r="F9" s="223">
        <v>0</v>
      </c>
      <c r="G9" s="223">
        <v>0</v>
      </c>
      <c r="H9" s="223">
        <v>0</v>
      </c>
      <c r="I9" s="223">
        <v>-1.6946133000217412E-4</v>
      </c>
      <c r="J9" s="223">
        <v>-8.4757266750349475E-4</v>
      </c>
      <c r="K9" s="223">
        <v>-3.2041090155915386E-4</v>
      </c>
      <c r="L9" s="223">
        <v>-2.7270877049353076E-3</v>
      </c>
      <c r="M9" s="223">
        <v>-2.970608016127245E-3</v>
      </c>
      <c r="N9" s="223">
        <v>-3.2299459197906999E-4</v>
      </c>
      <c r="O9" s="223">
        <v>-3.6162170931846108E-3</v>
      </c>
      <c r="P9" s="223">
        <v>-4.7177612021279125E-4</v>
      </c>
      <c r="Q9" s="223">
        <v>-1.1004436344069571E-3</v>
      </c>
      <c r="R9" s="223">
        <v>-1.8717167252596534E-3</v>
      </c>
      <c r="S9" s="269">
        <f t="shared" si="0"/>
        <v>-1.3846642471772553E-3</v>
      </c>
    </row>
    <row r="10" spans="1:19">
      <c r="A10" t="s">
        <v>383</v>
      </c>
      <c r="B10" s="223">
        <v>1.2347494483810152E-2</v>
      </c>
      <c r="C10" s="223">
        <v>1.2299477853458342E-2</v>
      </c>
      <c r="D10" s="223">
        <v>1.233552634536917E-2</v>
      </c>
      <c r="E10" s="223">
        <v>1.2337570614032463E-2</v>
      </c>
      <c r="F10" s="223">
        <v>1.2320658722644991E-2</v>
      </c>
      <c r="G10" s="223">
        <v>1.2295449251822153E-2</v>
      </c>
      <c r="H10" s="223">
        <v>1.2268643220586919E-2</v>
      </c>
      <c r="I10" s="223">
        <v>1.2345616978049714E-2</v>
      </c>
      <c r="J10" s="223">
        <v>1.2286511193537776E-2</v>
      </c>
      <c r="K10" s="223">
        <v>1.2312997578590813E-2</v>
      </c>
      <c r="L10" s="223">
        <v>1.231005068919825E-2</v>
      </c>
      <c r="M10" s="223">
        <v>1.23315350234958E-2</v>
      </c>
      <c r="N10" s="223">
        <v>7.378177381438665E-3</v>
      </c>
      <c r="O10" s="223">
        <v>1.2261626766066257E-2</v>
      </c>
      <c r="P10" s="223">
        <v>1.225376482671308E-2</v>
      </c>
      <c r="Q10" s="223">
        <v>1.2281791824778218E-2</v>
      </c>
      <c r="R10" s="223">
        <v>7.3977537351467143E-3</v>
      </c>
      <c r="S10" s="269">
        <f t="shared" si="0"/>
        <v>1.172733214639644E-2</v>
      </c>
    </row>
    <row r="11" spans="1:19">
      <c r="A11" t="s">
        <v>384</v>
      </c>
      <c r="B11" s="223">
        <v>-1.1648919541649067E-2</v>
      </c>
      <c r="C11" s="223">
        <v>-1.1608096040817407E-2</v>
      </c>
      <c r="D11" s="223">
        <v>-1.1624062789455037E-2</v>
      </c>
      <c r="E11" s="223">
        <v>-1.1556276726008018E-2</v>
      </c>
      <c r="F11" s="223">
        <v>-1.1636368177832718E-2</v>
      </c>
      <c r="G11" s="223">
        <v>-1.1595708237490759E-2</v>
      </c>
      <c r="H11" s="223">
        <v>-1.1570427752748642E-2</v>
      </c>
      <c r="I11" s="223">
        <v>-1.1643020889867982E-2</v>
      </c>
      <c r="J11" s="223">
        <v>-1.1573901915442508E-2</v>
      </c>
      <c r="K11" s="223">
        <v>-1.1630907500175189E-2</v>
      </c>
      <c r="L11" s="223">
        <v>-1.160947869875607E-2</v>
      </c>
      <c r="M11" s="223">
        <v>-1.1590584127331879E-2</v>
      </c>
      <c r="N11" s="223">
        <v>-1.6451341458613131E-2</v>
      </c>
      <c r="O11" s="223">
        <v>-1.1551112716873011E-2</v>
      </c>
      <c r="P11" s="223">
        <v>-1.1587882252924189E-2</v>
      </c>
      <c r="Q11" s="223">
        <v>-1.1581574120838357E-2</v>
      </c>
      <c r="R11" s="223">
        <v>-1.6451168724945214E-2</v>
      </c>
      <c r="S11" s="269">
        <f t="shared" si="0"/>
        <v>-1.2171225392457009E-2</v>
      </c>
    </row>
    <row r="12" spans="1:19">
      <c r="A12" t="s">
        <v>385</v>
      </c>
      <c r="B12" s="223">
        <v>7.662639793048813E-3</v>
      </c>
      <c r="C12" s="223">
        <v>4.7987358552527073E-3</v>
      </c>
      <c r="D12" s="223">
        <v>1.3556664545404808E-2</v>
      </c>
      <c r="E12" s="223">
        <v>1.9047865590542938E-2</v>
      </c>
      <c r="F12" s="223">
        <v>1.8371837351235008E-2</v>
      </c>
      <c r="G12" s="223">
        <v>5.8098195985772233E-3</v>
      </c>
      <c r="H12" s="223">
        <v>7.5816889958488717E-3</v>
      </c>
      <c r="I12" s="223">
        <v>1.2111744499082373E-2</v>
      </c>
      <c r="J12" s="223">
        <v>6.0809890363817815E-3</v>
      </c>
      <c r="K12" s="223">
        <v>9.8238664846224191E-3</v>
      </c>
      <c r="L12" s="223">
        <v>2.9523467540184131E-2</v>
      </c>
      <c r="M12" s="223">
        <v>7.7174183176240488E-3</v>
      </c>
      <c r="N12" s="223">
        <v>1.0011381869765565E-2</v>
      </c>
      <c r="O12" s="223">
        <v>1.2826251136709911E-2</v>
      </c>
      <c r="P12" s="223">
        <v>4.6799416276685352E-3</v>
      </c>
      <c r="Q12" s="223">
        <v>1.4562479482039432E-2</v>
      </c>
      <c r="R12" s="223">
        <v>1.2797875586376233E-2</v>
      </c>
      <c r="S12" s="269">
        <f t="shared" si="0"/>
        <v>1.1586156900609693E-2</v>
      </c>
    </row>
    <row r="13" spans="1:19">
      <c r="A13" t="s">
        <v>386</v>
      </c>
      <c r="B13" s="223">
        <v>-1.933879224337336E-2</v>
      </c>
      <c r="C13" s="223">
        <v>-2.3018602456302984E-2</v>
      </c>
      <c r="D13" s="223">
        <v>-1.5376168352224238E-2</v>
      </c>
      <c r="E13" s="223">
        <v>-2.8325465325293842E-2</v>
      </c>
      <c r="F13" s="223">
        <v>-2.1151635873595344E-2</v>
      </c>
      <c r="G13" s="223">
        <v>-1.6386640787538435E-2</v>
      </c>
      <c r="H13" s="223">
        <v>-1.6753807228871005E-2</v>
      </c>
      <c r="I13" s="223">
        <v>-1.3848701075251463E-2</v>
      </c>
      <c r="J13" s="223">
        <v>-1.0253395598382946E-2</v>
      </c>
      <c r="K13" s="223">
        <v>-1.3543068209679453E-2</v>
      </c>
      <c r="L13" s="223">
        <v>-2.461815484028913E-2</v>
      </c>
      <c r="M13" s="223">
        <v>-2.9300619780551138E-2</v>
      </c>
      <c r="N13" s="223">
        <v>-2.1514583201446509E-2</v>
      </c>
      <c r="O13" s="223">
        <v>-1.6430118883769978E-2</v>
      </c>
      <c r="P13" s="223">
        <v>-1.7951170470381899E-2</v>
      </c>
      <c r="Q13" s="223">
        <v>-2.8959163150997502E-2</v>
      </c>
      <c r="R13" s="223">
        <v>-1.0143278378235445E-2</v>
      </c>
      <c r="S13" s="269">
        <f t="shared" si="0"/>
        <v>-1.9230197991540274E-2</v>
      </c>
    </row>
    <row r="14" spans="1:19">
      <c r="A14" t="s">
        <v>719</v>
      </c>
      <c r="B14" s="223">
        <v>9.2709719487291745E-3</v>
      </c>
      <c r="C14" s="223">
        <v>3.7320416956119852E-2</v>
      </c>
      <c r="D14" s="223">
        <v>1.0527999315588697E-2</v>
      </c>
      <c r="E14" s="223">
        <v>1.2761451649294576E-2</v>
      </c>
      <c r="F14" s="223">
        <v>1.1203908567985012E-2</v>
      </c>
      <c r="G14" s="223">
        <v>9.4244607507375927E-3</v>
      </c>
      <c r="H14" s="223">
        <v>9.4019221245452908E-3</v>
      </c>
      <c r="I14" s="223">
        <v>9.5991478411748057E-3</v>
      </c>
      <c r="J14" s="223">
        <v>8.1718855364354068E-3</v>
      </c>
      <c r="K14" s="223">
        <v>1.0623086824166114E-2</v>
      </c>
      <c r="L14" s="223">
        <v>8.938356453733351E-3</v>
      </c>
      <c r="M14" s="223">
        <v>1.7415235150824743E-2</v>
      </c>
      <c r="N14" s="223">
        <v>1.1631881129079605E-2</v>
      </c>
      <c r="O14" s="223">
        <v>3.5239176574284908E-2</v>
      </c>
      <c r="P14" s="223">
        <v>9.4700098045712236E-3</v>
      </c>
      <c r="Q14" s="223">
        <v>2.2734813460919115E-2</v>
      </c>
      <c r="R14" s="223">
        <v>1.515670985428999E-2</v>
      </c>
      <c r="S14" s="269">
        <f t="shared" si="0"/>
        <v>1.4640672584851732E-2</v>
      </c>
    </row>
    <row r="15" spans="1:19">
      <c r="A15" t="s">
        <v>720</v>
      </c>
      <c r="B15" s="223">
        <v>-1.2696364608606833E-2</v>
      </c>
      <c r="C15" s="223">
        <v>-2.6169885020962541E-2</v>
      </c>
      <c r="D15" s="223">
        <v>-1.1040544866157159E-2</v>
      </c>
      <c r="E15" s="223">
        <v>-9.7648354725371617E-3</v>
      </c>
      <c r="F15" s="223">
        <v>-8.5730312524257661E-3</v>
      </c>
      <c r="G15" s="223">
        <v>-1.1870925314488676E-2</v>
      </c>
      <c r="H15" s="223">
        <v>-1.3276524192912809E-2</v>
      </c>
      <c r="I15" s="223">
        <v>-7.345096931101372E-3</v>
      </c>
      <c r="J15" s="223">
        <v>-8.3673561060008568E-3</v>
      </c>
      <c r="K15" s="223">
        <v>-1.0778081653594118E-2</v>
      </c>
      <c r="L15" s="223">
        <v>-1.145965692653008E-2</v>
      </c>
      <c r="M15" s="223">
        <v>-1.532301925754925E-2</v>
      </c>
      <c r="N15" s="223">
        <v>-1.3485063735196839E-2</v>
      </c>
      <c r="O15" s="223">
        <v>-2.4057460526808041E-2</v>
      </c>
      <c r="P15" s="223">
        <v>-1.1778340579358913E-2</v>
      </c>
      <c r="Q15" s="223">
        <v>-2.1209365459862795E-2</v>
      </c>
      <c r="R15" s="223">
        <v>-1.4387848633025897E-2</v>
      </c>
      <c r="S15" s="269">
        <f t="shared" si="0"/>
        <v>-1.3622552972771713E-2</v>
      </c>
    </row>
    <row r="16" spans="1:19">
      <c r="A16" t="s">
        <v>387</v>
      </c>
      <c r="B16" s="223">
        <v>3.9179763853707798E-2</v>
      </c>
      <c r="C16" s="223">
        <v>4.2518196388572342E-2</v>
      </c>
      <c r="D16" s="223">
        <v>3.9369103125702194E-2</v>
      </c>
      <c r="E16" s="223">
        <v>3.9136370136326024E-2</v>
      </c>
      <c r="F16" s="223">
        <v>3.9014016727115283E-2</v>
      </c>
      <c r="G16" s="223">
        <v>3.8664040180662017E-2</v>
      </c>
      <c r="H16" s="223">
        <v>3.8859939282067178E-2</v>
      </c>
      <c r="I16" s="223">
        <v>3.8616331421237882E-2</v>
      </c>
      <c r="J16" s="223">
        <v>3.8299547026800676E-2</v>
      </c>
      <c r="K16" s="223">
        <v>3.8963107718537074E-2</v>
      </c>
      <c r="L16" s="223">
        <v>3.9079116091924923E-2</v>
      </c>
      <c r="M16" s="223">
        <v>4.1493939832041582E-2</v>
      </c>
      <c r="N16" s="223">
        <v>3.962831707279485E-2</v>
      </c>
      <c r="O16" s="223">
        <v>4.1814056592426249E-2</v>
      </c>
      <c r="P16" s="223">
        <v>3.9033860370740234E-2</v>
      </c>
      <c r="Q16" s="223">
        <v>4.2048381521292928E-2</v>
      </c>
      <c r="R16" s="223">
        <v>3.9629756380807249E-2</v>
      </c>
      <c r="S16" s="269">
        <f t="shared" si="0"/>
        <v>3.9726343748397439E-2</v>
      </c>
    </row>
    <row r="17" spans="1:33">
      <c r="A17"/>
      <c r="B17"/>
      <c r="C17"/>
      <c r="D17"/>
      <c r="E17"/>
      <c r="F17"/>
      <c r="G17"/>
      <c r="H17"/>
      <c r="I17"/>
      <c r="J17"/>
      <c r="K17"/>
      <c r="L17"/>
      <c r="M17"/>
      <c r="N17"/>
      <c r="O17"/>
      <c r="P17"/>
      <c r="Q17"/>
      <c r="R17"/>
      <c r="S17"/>
    </row>
    <row r="18" spans="1:33">
      <c r="A18" t="s">
        <v>838</v>
      </c>
      <c r="B18" s="269">
        <f t="shared" ref="B18:R18" si="1">B4+B6+B8+B10+B12+B14</f>
        <v>3.4815252471730805E-2</v>
      </c>
      <c r="C18" s="269">
        <f t="shared" si="1"/>
        <v>7.154715275374765E-2</v>
      </c>
      <c r="D18" s="269">
        <f t="shared" si="1"/>
        <v>4.5253734517125714E-2</v>
      </c>
      <c r="E18" s="269">
        <f t="shared" si="1"/>
        <v>5.1045284888207969E-2</v>
      </c>
      <c r="F18" s="269">
        <f t="shared" si="1"/>
        <v>4.5592820781085029E-2</v>
      </c>
      <c r="G18" s="269">
        <f t="shared" si="1"/>
        <v>3.4582996688614011E-2</v>
      </c>
      <c r="H18" s="269">
        <f t="shared" si="1"/>
        <v>3.4768254726130113E-2</v>
      </c>
      <c r="I18" s="269">
        <f t="shared" si="1"/>
        <v>4.1491298939063108E-2</v>
      </c>
      <c r="J18" s="269">
        <f t="shared" si="1"/>
        <v>3.5329981000396977E-2</v>
      </c>
      <c r="K18" s="269">
        <f t="shared" si="1"/>
        <v>3.8940706802463657E-2</v>
      </c>
      <c r="L18" s="269">
        <f t="shared" si="1"/>
        <v>5.6985276015056846E-2</v>
      </c>
      <c r="M18" s="269">
        <f t="shared" si="1"/>
        <v>5.2490381867027383E-2</v>
      </c>
      <c r="N18" s="269">
        <f t="shared" si="1"/>
        <v>4.0801620591972926E-2</v>
      </c>
      <c r="O18" s="269">
        <f t="shared" si="1"/>
        <v>7.2291322322027451E-2</v>
      </c>
      <c r="P18" s="269">
        <f t="shared" si="1"/>
        <v>3.5102612583913603E-2</v>
      </c>
      <c r="Q18" s="269">
        <f t="shared" si="1"/>
        <v>6.7495193780745727E-2</v>
      </c>
      <c r="R18" s="269">
        <f t="shared" si="1"/>
        <v>4.825679708181517E-2</v>
      </c>
      <c r="S18" s="269">
        <f t="shared" ref="S18:S24" si="2">AVERAGE(B18:R18)</f>
        <v>4.7458275753595534E-2</v>
      </c>
    </row>
    <row r="19" spans="1:33">
      <c r="A19" s="285" t="s">
        <v>839</v>
      </c>
      <c r="B19" s="269">
        <f t="shared" ref="B19:R19" si="3">B5+B7+B9+B11+B13+B15</f>
        <v>-5.1456765694052053E-2</v>
      </c>
      <c r="C19" s="269">
        <f t="shared" si="3"/>
        <v>-8.1447859319648541E-2</v>
      </c>
      <c r="D19" s="269">
        <f t="shared" si="3"/>
        <v>-4.8131909262339498E-2</v>
      </c>
      <c r="E19" s="269">
        <f t="shared" si="3"/>
        <v>-5.8188553106647029E-2</v>
      </c>
      <c r="F19" s="269">
        <f t="shared" si="3"/>
        <v>-4.6386929211972683E-2</v>
      </c>
      <c r="G19" s="269">
        <f t="shared" si="3"/>
        <v>-4.8285539254510207E-2</v>
      </c>
      <c r="H19" s="269">
        <f t="shared" si="3"/>
        <v>-4.7663825796339654E-2</v>
      </c>
      <c r="I19" s="269">
        <f t="shared" si="3"/>
        <v>-3.9946036151982403E-2</v>
      </c>
      <c r="J19" s="269">
        <f t="shared" si="3"/>
        <v>-3.7058187479285638E-2</v>
      </c>
      <c r="K19" s="269">
        <f t="shared" si="3"/>
        <v>-4.1749833141979963E-2</v>
      </c>
      <c r="L19" s="269">
        <f t="shared" si="3"/>
        <v>-5.4306326745056345E-2</v>
      </c>
      <c r="M19" s="269">
        <f t="shared" si="3"/>
        <v>-7.253208592133592E-2</v>
      </c>
      <c r="N19" s="269">
        <f t="shared" si="3"/>
        <v>-6.5770238785672411E-2</v>
      </c>
      <c r="O19" s="269">
        <f t="shared" si="3"/>
        <v>-6.5074171597648375E-2</v>
      </c>
      <c r="P19" s="269">
        <f t="shared" si="3"/>
        <v>-5.2787872955329128E-2</v>
      </c>
      <c r="Q19" s="269">
        <f t="shared" si="3"/>
        <v>-8.2558987438520914E-2</v>
      </c>
      <c r="R19" s="269">
        <f t="shared" si="3"/>
        <v>-5.6909995389977507E-2</v>
      </c>
      <c r="S19" s="269">
        <f t="shared" si="2"/>
        <v>-5.5897359838370499E-2</v>
      </c>
    </row>
    <row r="20" spans="1:33">
      <c r="A20" t="s">
        <v>387</v>
      </c>
      <c r="B20" s="269">
        <f t="shared" ref="B20:R20" si="4">B16</f>
        <v>3.9179763853707798E-2</v>
      </c>
      <c r="C20" s="269">
        <f t="shared" si="4"/>
        <v>4.2518196388572342E-2</v>
      </c>
      <c r="D20" s="269">
        <f t="shared" si="4"/>
        <v>3.9369103125702194E-2</v>
      </c>
      <c r="E20" s="269">
        <f t="shared" si="4"/>
        <v>3.9136370136326024E-2</v>
      </c>
      <c r="F20" s="269">
        <f t="shared" si="4"/>
        <v>3.9014016727115283E-2</v>
      </c>
      <c r="G20" s="269">
        <f t="shared" si="4"/>
        <v>3.8664040180662017E-2</v>
      </c>
      <c r="H20" s="269">
        <f t="shared" si="4"/>
        <v>3.8859939282067178E-2</v>
      </c>
      <c r="I20" s="269">
        <f t="shared" si="4"/>
        <v>3.8616331421237882E-2</v>
      </c>
      <c r="J20" s="269">
        <f t="shared" si="4"/>
        <v>3.8299547026800676E-2</v>
      </c>
      <c r="K20" s="269">
        <f t="shared" si="4"/>
        <v>3.8963107718537074E-2</v>
      </c>
      <c r="L20" s="269">
        <f t="shared" si="4"/>
        <v>3.9079116091924923E-2</v>
      </c>
      <c r="M20" s="269">
        <f t="shared" si="4"/>
        <v>4.1493939832041582E-2</v>
      </c>
      <c r="N20" s="269">
        <f t="shared" si="4"/>
        <v>3.962831707279485E-2</v>
      </c>
      <c r="O20" s="269">
        <f t="shared" si="4"/>
        <v>4.1814056592426249E-2</v>
      </c>
      <c r="P20" s="269">
        <f t="shared" si="4"/>
        <v>3.9033860370740234E-2</v>
      </c>
      <c r="Q20" s="269">
        <f t="shared" si="4"/>
        <v>4.2048381521292928E-2</v>
      </c>
      <c r="R20" s="269">
        <f t="shared" si="4"/>
        <v>3.9629756380807249E-2</v>
      </c>
      <c r="S20" s="269">
        <f t="shared" si="2"/>
        <v>3.9726343748397439E-2</v>
      </c>
    </row>
    <row r="21" spans="1:33">
      <c r="A21" s="285" t="s">
        <v>840</v>
      </c>
      <c r="B21" s="269">
        <f t="shared" ref="B21:R21" si="5">B5+B7+B9+B13+B15</f>
        <v>-3.9807846152402987E-2</v>
      </c>
      <c r="C21" s="269">
        <f t="shared" si="5"/>
        <v>-6.9839763278831138E-2</v>
      </c>
      <c r="D21" s="269">
        <f t="shared" si="5"/>
        <v>-3.6507846472884464E-2</v>
      </c>
      <c r="E21" s="269">
        <f t="shared" si="5"/>
        <v>-4.6632276380639014E-2</v>
      </c>
      <c r="F21" s="269">
        <f t="shared" si="5"/>
        <v>-3.4750561034139954E-2</v>
      </c>
      <c r="G21" s="269">
        <f t="shared" si="5"/>
        <v>-3.6689831017019447E-2</v>
      </c>
      <c r="H21" s="269">
        <f t="shared" si="5"/>
        <v>-3.6093398043591018E-2</v>
      </c>
      <c r="I21" s="269">
        <f t="shared" si="5"/>
        <v>-2.8303015262114421E-2</v>
      </c>
      <c r="J21" s="269">
        <f t="shared" si="5"/>
        <v>-2.5484285563843131E-2</v>
      </c>
      <c r="K21" s="269">
        <f t="shared" si="5"/>
        <v>-3.0118925641804774E-2</v>
      </c>
      <c r="L21" s="269">
        <f t="shared" si="5"/>
        <v>-4.2696848046300279E-2</v>
      </c>
      <c r="M21" s="269">
        <f t="shared" si="5"/>
        <v>-6.0941501794004038E-2</v>
      </c>
      <c r="N21" s="269">
        <f t="shared" si="5"/>
        <v>-4.9318897327059283E-2</v>
      </c>
      <c r="O21" s="269">
        <f t="shared" si="5"/>
        <v>-5.3523058880775361E-2</v>
      </c>
      <c r="P21" s="269">
        <f t="shared" si="5"/>
        <v>-4.1199990702404932E-2</v>
      </c>
      <c r="Q21" s="269">
        <f t="shared" si="5"/>
        <v>-7.0977413317682564E-2</v>
      </c>
      <c r="R21" s="269">
        <f t="shared" si="5"/>
        <v>-4.0458826665032296E-2</v>
      </c>
      <c r="S21" s="269">
        <f t="shared" si="2"/>
        <v>-4.3726134445913487E-2</v>
      </c>
    </row>
    <row r="22" spans="1:33">
      <c r="A22" s="285" t="s">
        <v>841</v>
      </c>
      <c r="B22" s="269">
        <f t="shared" ref="B22:R22" si="6">B4+B6+B8+B12+B14</f>
        <v>2.2467757987920653E-2</v>
      </c>
      <c r="C22" s="269">
        <f t="shared" si="6"/>
        <v>5.9247674900289309E-2</v>
      </c>
      <c r="D22" s="269">
        <f t="shared" si="6"/>
        <v>3.2918208171756544E-2</v>
      </c>
      <c r="E22" s="269">
        <f t="shared" si="6"/>
        <v>3.8707714274175506E-2</v>
      </c>
      <c r="F22" s="269">
        <f t="shared" si="6"/>
        <v>3.3272162058440038E-2</v>
      </c>
      <c r="G22" s="269">
        <f t="shared" si="6"/>
        <v>2.2287547436791857E-2</v>
      </c>
      <c r="H22" s="269">
        <f t="shared" si="6"/>
        <v>2.2499611505543193E-2</v>
      </c>
      <c r="I22" s="269">
        <f t="shared" si="6"/>
        <v>2.9145681961013394E-2</v>
      </c>
      <c r="J22" s="269">
        <f t="shared" si="6"/>
        <v>2.3043469806859201E-2</v>
      </c>
      <c r="K22" s="269">
        <f t="shared" si="6"/>
        <v>2.6627709223872843E-2</v>
      </c>
      <c r="L22" s="269">
        <f t="shared" si="6"/>
        <v>4.4675225325858596E-2</v>
      </c>
      <c r="M22" s="269">
        <f t="shared" si="6"/>
        <v>4.0158846843531583E-2</v>
      </c>
      <c r="N22" s="269">
        <f t="shared" si="6"/>
        <v>3.3423443210534261E-2</v>
      </c>
      <c r="O22" s="269">
        <f t="shared" si="6"/>
        <v>6.0029695555961195E-2</v>
      </c>
      <c r="P22" s="269">
        <f t="shared" si="6"/>
        <v>2.2848847757200523E-2</v>
      </c>
      <c r="Q22" s="269">
        <f t="shared" si="6"/>
        <v>5.5213401955967502E-2</v>
      </c>
      <c r="R22" s="269">
        <f t="shared" si="6"/>
        <v>4.0859043346668455E-2</v>
      </c>
      <c r="S22" s="269">
        <f t="shared" si="2"/>
        <v>3.5730943607199098E-2</v>
      </c>
    </row>
    <row r="23" spans="1:33">
      <c r="A23" s="285" t="s">
        <v>842</v>
      </c>
      <c r="B23" s="269">
        <f t="shared" ref="B23:R23" si="7">B11</f>
        <v>-1.1648919541649067E-2</v>
      </c>
      <c r="C23" s="269">
        <f t="shared" si="7"/>
        <v>-1.1608096040817407E-2</v>
      </c>
      <c r="D23" s="269">
        <f t="shared" si="7"/>
        <v>-1.1624062789455037E-2</v>
      </c>
      <c r="E23" s="269">
        <f t="shared" si="7"/>
        <v>-1.1556276726008018E-2</v>
      </c>
      <c r="F23" s="269">
        <f t="shared" si="7"/>
        <v>-1.1636368177832718E-2</v>
      </c>
      <c r="G23" s="269">
        <f t="shared" si="7"/>
        <v>-1.1595708237490759E-2</v>
      </c>
      <c r="H23" s="269">
        <f t="shared" si="7"/>
        <v>-1.1570427752748642E-2</v>
      </c>
      <c r="I23" s="269">
        <f t="shared" si="7"/>
        <v>-1.1643020889867982E-2</v>
      </c>
      <c r="J23" s="269">
        <f t="shared" si="7"/>
        <v>-1.1573901915442508E-2</v>
      </c>
      <c r="K23" s="269">
        <f t="shared" si="7"/>
        <v>-1.1630907500175189E-2</v>
      </c>
      <c r="L23" s="269">
        <f t="shared" si="7"/>
        <v>-1.160947869875607E-2</v>
      </c>
      <c r="M23" s="269">
        <f t="shared" si="7"/>
        <v>-1.1590584127331879E-2</v>
      </c>
      <c r="N23" s="269">
        <f t="shared" si="7"/>
        <v>-1.6451341458613131E-2</v>
      </c>
      <c r="O23" s="269">
        <f t="shared" si="7"/>
        <v>-1.1551112716873011E-2</v>
      </c>
      <c r="P23" s="269">
        <f t="shared" si="7"/>
        <v>-1.1587882252924189E-2</v>
      </c>
      <c r="Q23" s="269">
        <f t="shared" si="7"/>
        <v>-1.1581574120838357E-2</v>
      </c>
      <c r="R23" s="269">
        <f t="shared" si="7"/>
        <v>-1.6451168724945214E-2</v>
      </c>
      <c r="S23" s="269">
        <f t="shared" si="2"/>
        <v>-1.2171225392457009E-2</v>
      </c>
    </row>
    <row r="24" spans="1:33">
      <c r="A24" s="285" t="s">
        <v>843</v>
      </c>
      <c r="B24" s="269">
        <f t="shared" ref="B24:R24" si="8">B10</f>
        <v>1.2347494483810152E-2</v>
      </c>
      <c r="C24" s="269">
        <f t="shared" si="8"/>
        <v>1.2299477853458342E-2</v>
      </c>
      <c r="D24" s="269">
        <f t="shared" si="8"/>
        <v>1.233552634536917E-2</v>
      </c>
      <c r="E24" s="269">
        <f t="shared" si="8"/>
        <v>1.2337570614032463E-2</v>
      </c>
      <c r="F24" s="269">
        <f t="shared" si="8"/>
        <v>1.2320658722644991E-2</v>
      </c>
      <c r="G24" s="269">
        <f t="shared" si="8"/>
        <v>1.2295449251822153E-2</v>
      </c>
      <c r="H24" s="269">
        <f t="shared" si="8"/>
        <v>1.2268643220586919E-2</v>
      </c>
      <c r="I24" s="269">
        <f t="shared" si="8"/>
        <v>1.2345616978049714E-2</v>
      </c>
      <c r="J24" s="269">
        <f t="shared" si="8"/>
        <v>1.2286511193537776E-2</v>
      </c>
      <c r="K24" s="269">
        <f t="shared" si="8"/>
        <v>1.2312997578590813E-2</v>
      </c>
      <c r="L24" s="269">
        <f t="shared" si="8"/>
        <v>1.231005068919825E-2</v>
      </c>
      <c r="M24" s="269">
        <f t="shared" si="8"/>
        <v>1.23315350234958E-2</v>
      </c>
      <c r="N24" s="269">
        <f t="shared" si="8"/>
        <v>7.378177381438665E-3</v>
      </c>
      <c r="O24" s="269">
        <f t="shared" si="8"/>
        <v>1.2261626766066257E-2</v>
      </c>
      <c r="P24" s="269">
        <f t="shared" si="8"/>
        <v>1.225376482671308E-2</v>
      </c>
      <c r="Q24" s="269">
        <f t="shared" si="8"/>
        <v>1.2281791824778218E-2</v>
      </c>
      <c r="R24" s="269">
        <f t="shared" si="8"/>
        <v>7.3977537351467143E-3</v>
      </c>
      <c r="S24" s="269">
        <f t="shared" si="2"/>
        <v>1.172733214639644E-2</v>
      </c>
    </row>
    <row r="31" spans="1:33">
      <c r="Z31" s="221"/>
      <c r="AA31" s="221"/>
      <c r="AB31" s="221"/>
      <c r="AC31" s="221"/>
      <c r="AD31" s="221"/>
      <c r="AE31" s="221"/>
      <c r="AF31" s="221"/>
      <c r="AG31" s="221"/>
    </row>
  </sheetData>
  <pageMargins left="0.7" right="0.7" top="0.75" bottom="0.75" header="0.3" footer="0.3"/>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G39"/>
  <sheetViews>
    <sheetView showGridLines="0" zoomScale="80" zoomScaleNormal="80" workbookViewId="0">
      <selection activeCell="H23" sqref="H23"/>
    </sheetView>
  </sheetViews>
  <sheetFormatPr defaultColWidth="8.6640625" defaultRowHeight="14.25"/>
  <cols>
    <col min="1" max="1" width="78.6640625" style="285" customWidth="1"/>
    <col min="2" max="2" width="10.6640625" style="285" customWidth="1"/>
    <col min="3" max="22" width="10.33203125" style="285" customWidth="1"/>
    <col min="23" max="16384" width="8.6640625" style="285"/>
  </cols>
  <sheetData>
    <row r="1" spans="1:33" ht="18">
      <c r="A1" s="256" t="s">
        <v>568</v>
      </c>
      <c r="C1" s="2"/>
      <c r="D1" s="2"/>
      <c r="E1" s="2"/>
      <c r="F1" s="2"/>
      <c r="G1" s="2"/>
    </row>
    <row r="2" spans="1:33">
      <c r="C2" s="2"/>
      <c r="D2" s="2"/>
      <c r="E2" s="2"/>
      <c r="F2" s="2"/>
      <c r="G2" s="2"/>
    </row>
    <row r="3" spans="1:33">
      <c r="A3" s="1" t="s">
        <v>721</v>
      </c>
      <c r="C3" s="2"/>
      <c r="D3" s="2"/>
      <c r="E3" s="2"/>
      <c r="F3" s="2"/>
      <c r="G3" s="2"/>
    </row>
    <row r="4" spans="1:33">
      <c r="A4" s="221" t="s">
        <v>722</v>
      </c>
      <c r="B4" s="285">
        <v>0.6</v>
      </c>
      <c r="C4" s="2"/>
      <c r="D4" s="2"/>
      <c r="E4" s="2"/>
      <c r="F4" s="2"/>
      <c r="G4" s="2"/>
    </row>
    <row r="5" spans="1:33">
      <c r="A5" s="221" t="s">
        <v>723</v>
      </c>
      <c r="B5" s="285">
        <v>0.38</v>
      </c>
      <c r="C5" s="2"/>
      <c r="D5" s="2"/>
      <c r="E5" s="2"/>
      <c r="F5" s="2"/>
      <c r="G5" s="2"/>
    </row>
    <row r="6" spans="1:33">
      <c r="C6" s="2"/>
      <c r="D6" s="2"/>
      <c r="E6" s="2"/>
      <c r="F6" s="2"/>
      <c r="G6" s="2"/>
    </row>
    <row r="7" spans="1:33">
      <c r="A7" s="367" t="s">
        <v>558</v>
      </c>
    </row>
    <row r="8" spans="1:33">
      <c r="A8" s="285" t="s">
        <v>559</v>
      </c>
      <c r="B8" s="363">
        <v>0.625</v>
      </c>
      <c r="G8" s="227"/>
    </row>
    <row r="9" spans="1:33">
      <c r="A9" s="285" t="s">
        <v>560</v>
      </c>
      <c r="B9" s="4">
        <v>0.85333333333333339</v>
      </c>
      <c r="G9" s="2"/>
    </row>
    <row r="10" spans="1:33">
      <c r="A10" s="285" t="s">
        <v>561</v>
      </c>
      <c r="B10" s="244">
        <v>7.4999999999999997E-2</v>
      </c>
      <c r="G10" s="2"/>
    </row>
    <row r="11" spans="1:33">
      <c r="A11" s="285" t="s">
        <v>562</v>
      </c>
      <c r="B11" s="4">
        <f>B8*B10+(1-B8)*B9</f>
        <v>0.36687500000000001</v>
      </c>
      <c r="G11" s="2"/>
    </row>
    <row r="12" spans="1:33">
      <c r="A12" s="285" t="s">
        <v>563</v>
      </c>
      <c r="B12" s="4">
        <v>0.45</v>
      </c>
    </row>
    <row r="13" spans="1:33">
      <c r="A13" s="1"/>
      <c r="Z13" s="221"/>
      <c r="AA13" s="221"/>
      <c r="AB13" s="221"/>
      <c r="AC13" s="221"/>
      <c r="AD13" s="221"/>
      <c r="AE13" s="221"/>
      <c r="AF13" s="221"/>
      <c r="AG13" s="221"/>
    </row>
    <row r="14" spans="1:33">
      <c r="A14" s="367" t="s">
        <v>706</v>
      </c>
    </row>
    <row r="15" spans="1:33">
      <c r="A15" s="221" t="s">
        <v>702</v>
      </c>
      <c r="B15" s="363">
        <v>0.54200000000000004</v>
      </c>
    </row>
    <row r="16" spans="1:33">
      <c r="A16" s="221" t="s">
        <v>703</v>
      </c>
      <c r="B16" s="4">
        <v>0.63</v>
      </c>
    </row>
    <row r="17" spans="1:6">
      <c r="A17" s="221" t="s">
        <v>704</v>
      </c>
      <c r="B17" s="244">
        <v>0.125</v>
      </c>
    </row>
    <row r="18" spans="1:6">
      <c r="A18" s="221" t="s">
        <v>71</v>
      </c>
      <c r="B18" s="4">
        <f>B15*B17+(1-B15)*B16</f>
        <v>0.35629</v>
      </c>
    </row>
    <row r="19" spans="1:6">
      <c r="A19" s="285" t="s">
        <v>563</v>
      </c>
      <c r="B19" s="4">
        <f>E33</f>
        <v>0.50608941673181718</v>
      </c>
    </row>
    <row r="20" spans="1:6">
      <c r="A20" s="1"/>
    </row>
    <row r="21" spans="1:6">
      <c r="A21" s="367" t="s">
        <v>715</v>
      </c>
      <c r="B21" s="388" t="s">
        <v>683</v>
      </c>
      <c r="C21" s="388" t="s">
        <v>717</v>
      </c>
      <c r="F21" s="2"/>
    </row>
    <row r="22" spans="1:6">
      <c r="A22" s="285" t="s">
        <v>705</v>
      </c>
      <c r="B22" s="4">
        <v>0.54200000000000004</v>
      </c>
      <c r="C22" s="4">
        <v>0.54200000000000004</v>
      </c>
    </row>
    <row r="23" spans="1:6">
      <c r="A23" s="285" t="s">
        <v>712</v>
      </c>
      <c r="B23" s="4">
        <v>0.31</v>
      </c>
      <c r="C23" s="4">
        <v>0.31</v>
      </c>
    </row>
    <row r="24" spans="1:6">
      <c r="A24" s="285" t="s">
        <v>713</v>
      </c>
      <c r="B24" s="244">
        <v>0.04</v>
      </c>
      <c r="C24" s="244">
        <v>0.04</v>
      </c>
    </row>
    <row r="25" spans="1:6">
      <c r="A25" s="285" t="s">
        <v>699</v>
      </c>
      <c r="B25" s="4">
        <f>B23+B22*B24</f>
        <v>0.33167999999999997</v>
      </c>
      <c r="C25" s="4">
        <f>C23+C22*C24</f>
        <v>0.33167999999999997</v>
      </c>
      <c r="D25" s="4"/>
    </row>
    <row r="26" spans="1:6">
      <c r="A26" s="285" t="s">
        <v>714</v>
      </c>
      <c r="B26" s="4">
        <f>E33</f>
        <v>0.50608941673181718</v>
      </c>
      <c r="C26" s="368"/>
    </row>
    <row r="27" spans="1:6">
      <c r="A27" s="285" t="s">
        <v>716</v>
      </c>
      <c r="B27" s="368"/>
      <c r="C27" s="225">
        <f>F39</f>
        <v>0.47869895387156242</v>
      </c>
    </row>
    <row r="29" spans="1:6">
      <c r="A29" s="1" t="s">
        <v>675</v>
      </c>
      <c r="B29" s="388" t="s">
        <v>389</v>
      </c>
      <c r="C29" s="388" t="s">
        <v>390</v>
      </c>
      <c r="D29" s="388" t="s">
        <v>391</v>
      </c>
      <c r="E29" s="388" t="s">
        <v>236</v>
      </c>
    </row>
    <row r="30" spans="1:6">
      <c r="A30" s="285" t="s">
        <v>564</v>
      </c>
      <c r="B30" s="5">
        <v>1130.9000000000001</v>
      </c>
      <c r="C30" s="5">
        <v>397.3</v>
      </c>
      <c r="D30" s="5">
        <v>1354.8000000000002</v>
      </c>
    </row>
    <row r="31" spans="1:6">
      <c r="A31" s="285" t="s">
        <v>565</v>
      </c>
      <c r="B31" s="5">
        <v>7298.1</v>
      </c>
      <c r="C31" s="5">
        <v>2386.3000000000002</v>
      </c>
      <c r="D31" s="5">
        <v>7753.9</v>
      </c>
    </row>
    <row r="32" spans="1:6">
      <c r="A32" s="285" t="s">
        <v>566</v>
      </c>
      <c r="B32" s="5">
        <v>2271.3599999999997</v>
      </c>
      <c r="C32" s="5">
        <v>809.7</v>
      </c>
      <c r="D32" s="5">
        <v>2881</v>
      </c>
    </row>
    <row r="33" spans="1:6">
      <c r="A33" s="285" t="s">
        <v>567</v>
      </c>
      <c r="B33" s="225">
        <f>(B30+B32)/B31</f>
        <v>0.46618434935120096</v>
      </c>
      <c r="C33" s="225">
        <f>(C30+C32)/C31</f>
        <v>0.50580396429619068</v>
      </c>
      <c r="D33" s="225">
        <f>(D30+D32)/D31</f>
        <v>0.54627993654805973</v>
      </c>
      <c r="E33" s="4">
        <f>AVERAGE(B33:D33)</f>
        <v>0.50608941673181718</v>
      </c>
    </row>
    <row r="35" spans="1:6">
      <c r="A35" s="1" t="s">
        <v>711</v>
      </c>
      <c r="B35" s="388" t="s">
        <v>707</v>
      </c>
      <c r="C35" s="388" t="s">
        <v>708</v>
      </c>
      <c r="D35" s="388" t="s">
        <v>709</v>
      </c>
      <c r="E35" s="388" t="s">
        <v>710</v>
      </c>
      <c r="F35" s="388" t="s">
        <v>236</v>
      </c>
    </row>
    <row r="36" spans="1:6">
      <c r="A36" s="285" t="s">
        <v>564</v>
      </c>
      <c r="B36" s="285">
        <v>1242</v>
      </c>
      <c r="C36" s="285">
        <v>1066</v>
      </c>
      <c r="D36" s="285">
        <v>634</v>
      </c>
      <c r="E36" s="285">
        <v>81</v>
      </c>
    </row>
    <row r="37" spans="1:6">
      <c r="A37" s="285" t="s">
        <v>565</v>
      </c>
      <c r="B37" s="285">
        <v>5929</v>
      </c>
      <c r="C37" s="285">
        <v>5035</v>
      </c>
      <c r="D37" s="285">
        <v>3239</v>
      </c>
      <c r="E37" s="285">
        <v>523</v>
      </c>
    </row>
    <row r="38" spans="1:6">
      <c r="A38" s="285" t="s">
        <v>566</v>
      </c>
      <c r="B38" s="285">
        <v>1915</v>
      </c>
      <c r="C38" s="285">
        <v>1322</v>
      </c>
      <c r="D38" s="285">
        <v>1019</v>
      </c>
      <c r="E38" s="285">
        <v>127</v>
      </c>
    </row>
    <row r="39" spans="1:6">
      <c r="A39" s="285" t="s">
        <v>567</v>
      </c>
      <c r="B39" s="225">
        <f>(B36+B38)/B37</f>
        <v>0.53246753246753242</v>
      </c>
      <c r="C39" s="225">
        <f>(C36+C38)/C37</f>
        <v>0.47428003972194638</v>
      </c>
      <c r="D39" s="225">
        <f>(D36+D38)/D37</f>
        <v>0.5103426983636925</v>
      </c>
      <c r="E39" s="225">
        <f>(E36+E38)/E37</f>
        <v>0.39770554493307841</v>
      </c>
      <c r="F39" s="225">
        <f>AVERAGE(B39:E39)</f>
        <v>0.47869895387156242</v>
      </c>
    </row>
  </sheetData>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A1"/>
  <sheetViews>
    <sheetView showGridLines="0" workbookViewId="0">
      <selection activeCell="Q27" sqref="Q27"/>
    </sheetView>
  </sheetViews>
  <sheetFormatPr defaultColWidth="8.6640625" defaultRowHeight="14.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G29"/>
  <sheetViews>
    <sheetView showGridLines="0" zoomScale="80" zoomScaleNormal="80" workbookViewId="0"/>
  </sheetViews>
  <sheetFormatPr defaultColWidth="8.6640625" defaultRowHeight="14.25"/>
  <cols>
    <col min="1" max="1" width="27" customWidth="1"/>
  </cols>
  <sheetData>
    <row r="1" spans="1:7" ht="18">
      <c r="A1" s="256" t="s">
        <v>444</v>
      </c>
      <c r="B1" s="257"/>
    </row>
    <row r="3" spans="1:7">
      <c r="A3" s="1"/>
      <c r="B3" s="388" t="s">
        <v>682</v>
      </c>
    </row>
    <row r="4" spans="1:7">
      <c r="A4" t="s">
        <v>67</v>
      </c>
      <c r="B4" s="72">
        <f>'WACC parameters'!B4</f>
        <v>0.4</v>
      </c>
      <c r="F4" s="72"/>
      <c r="G4" s="74"/>
    </row>
    <row r="5" spans="1:7">
      <c r="A5" t="s">
        <v>68</v>
      </c>
      <c r="B5" s="2">
        <f>'WACC parameters'!B5</f>
        <v>6.7000000000000004E-2</v>
      </c>
      <c r="F5" s="73"/>
      <c r="G5" s="74"/>
    </row>
    <row r="6" spans="1:7">
      <c r="A6" t="s">
        <v>69</v>
      </c>
      <c r="B6" s="2">
        <f>'WACC parameters'!B6</f>
        <v>-0.01</v>
      </c>
      <c r="F6" s="2"/>
      <c r="G6" s="74"/>
    </row>
    <row r="7" spans="1:7">
      <c r="A7" t="s">
        <v>71</v>
      </c>
      <c r="B7" s="4">
        <f>'WACC parameters'!B7</f>
        <v>0.5</v>
      </c>
      <c r="F7" s="2"/>
      <c r="G7" s="74"/>
    </row>
    <row r="8" spans="1:7">
      <c r="A8" t="s">
        <v>72</v>
      </c>
      <c r="B8" s="363">
        <f>'WACC parameters'!B8</f>
        <v>7.4999999999999997E-2</v>
      </c>
      <c r="F8" s="4"/>
      <c r="G8" s="74"/>
    </row>
    <row r="9" spans="1:7">
      <c r="A9" t="s">
        <v>73</v>
      </c>
      <c r="B9" s="2">
        <f>'WACC parameters'!B9</f>
        <v>7.4999999999999997E-3</v>
      </c>
      <c r="F9" s="4"/>
      <c r="G9" s="74"/>
    </row>
    <row r="10" spans="1:7">
      <c r="A10" t="s">
        <v>210</v>
      </c>
      <c r="B10" s="293">
        <f>'WACC parameters'!B10</f>
        <v>0.19</v>
      </c>
      <c r="F10" s="73"/>
      <c r="G10" s="74"/>
    </row>
    <row r="11" spans="1:7">
      <c r="F11" s="285"/>
      <c r="G11" s="74"/>
    </row>
    <row r="12" spans="1:7">
      <c r="F12" s="285"/>
      <c r="G12" s="74"/>
    </row>
    <row r="13" spans="1:7">
      <c r="A13" s="1" t="s">
        <v>74</v>
      </c>
      <c r="F13" s="285"/>
      <c r="G13" s="74"/>
    </row>
    <row r="14" spans="1:7" s="285" customFormat="1">
      <c r="A14" t="s">
        <v>70</v>
      </c>
      <c r="B14" s="2">
        <f>B5-B6</f>
        <v>7.6999999999999999E-2</v>
      </c>
      <c r="G14" s="74"/>
    </row>
    <row r="15" spans="1:7">
      <c r="A15" t="s">
        <v>75</v>
      </c>
      <c r="B15" s="4">
        <f>(B7-(B4*B8))/(1-B4)</f>
        <v>0.78333333333333333</v>
      </c>
      <c r="F15" s="4"/>
      <c r="G15" s="74"/>
    </row>
    <row r="16" spans="1:7">
      <c r="A16" t="s">
        <v>76</v>
      </c>
      <c r="B16" s="73">
        <f>B6+B15*B14</f>
        <v>5.0316666666666662E-2</v>
      </c>
      <c r="F16" s="73"/>
      <c r="G16" s="74"/>
    </row>
    <row r="17" spans="1:7">
      <c r="A17" t="s">
        <v>77</v>
      </c>
      <c r="B17" s="73">
        <f>B16/(1-B10)</f>
        <v>6.2119341563785999E-2</v>
      </c>
      <c r="F17" s="73"/>
      <c r="G17" s="74"/>
    </row>
    <row r="18" spans="1:7">
      <c r="A18" t="s">
        <v>78</v>
      </c>
      <c r="B18" s="73">
        <f>B4*B9+(1-B4)*B17</f>
        <v>4.0271604938271602E-2</v>
      </c>
      <c r="F18" s="73"/>
      <c r="G18" s="74"/>
    </row>
    <row r="19" spans="1:7">
      <c r="A19" t="s">
        <v>79</v>
      </c>
      <c r="B19" s="73">
        <f>B4*B9+(1-B4)*B16</f>
        <v>3.3189999999999997E-2</v>
      </c>
      <c r="F19" s="73"/>
      <c r="G19" s="74"/>
    </row>
    <row r="20" spans="1:7">
      <c r="A20" t="s">
        <v>237</v>
      </c>
      <c r="B20" s="73">
        <f>(1+B9)*(1+Inflation!$C$14)-1</f>
        <v>2.7650000000000174E-2</v>
      </c>
      <c r="F20" s="73"/>
      <c r="G20" s="74"/>
    </row>
    <row r="27" spans="1:7">
      <c r="B27" s="71"/>
      <c r="D27" s="71"/>
    </row>
    <row r="29" spans="1:7">
      <c r="D29" s="25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BG426"/>
  <sheetViews>
    <sheetView showGridLines="0" zoomScale="70" zoomScaleNormal="70" workbookViewId="0"/>
  </sheetViews>
  <sheetFormatPr defaultColWidth="9.1328125" defaultRowHeight="14.25"/>
  <cols>
    <col min="1" max="1" width="60" style="63" customWidth="1"/>
    <col min="2" max="2" width="19.33203125" style="63" bestFit="1" customWidth="1"/>
    <col min="3" max="3" width="17.33203125" style="63" bestFit="1" customWidth="1"/>
    <col min="4" max="42" width="12.33203125" style="63" bestFit="1" customWidth="1"/>
    <col min="43" max="55" width="10.1328125" style="63" customWidth="1"/>
    <col min="56" max="16384" width="9.1328125" style="63"/>
  </cols>
  <sheetData>
    <row r="1" spans="1:26" s="286" customFormat="1" ht="23.25">
      <c r="A1" s="362" t="s">
        <v>667</v>
      </c>
      <c r="B1" s="257"/>
    </row>
    <row r="2" spans="1:26" s="286" customFormat="1"/>
    <row r="3" spans="1:26" ht="18">
      <c r="A3" s="256" t="s">
        <v>252</v>
      </c>
      <c r="B3" s="257"/>
      <c r="J3" s="267"/>
      <c r="K3" s="267">
        <v>1</v>
      </c>
      <c r="L3" s="267">
        <v>2</v>
      </c>
      <c r="M3" s="267">
        <v>3</v>
      </c>
      <c r="N3" s="267">
        <v>4</v>
      </c>
      <c r="O3" s="267">
        <v>5</v>
      </c>
    </row>
    <row r="4" spans="1:26">
      <c r="B4" s="389" t="s">
        <v>10</v>
      </c>
      <c r="C4" s="389"/>
      <c r="D4" s="388" t="s">
        <v>15</v>
      </c>
      <c r="E4" s="388" t="s">
        <v>16</v>
      </c>
      <c r="F4" s="388" t="s">
        <v>0</v>
      </c>
      <c r="G4" s="388" t="s">
        <v>1</v>
      </c>
      <c r="H4" s="388" t="s">
        <v>2</v>
      </c>
      <c r="I4" s="388" t="s">
        <v>3</v>
      </c>
      <c r="J4" s="388" t="s">
        <v>4</v>
      </c>
      <c r="K4" s="388" t="s">
        <v>5</v>
      </c>
      <c r="L4" s="388" t="s">
        <v>6</v>
      </c>
      <c r="M4" s="388" t="s">
        <v>7</v>
      </c>
      <c r="N4" s="388" t="s">
        <v>8</v>
      </c>
      <c r="O4" s="388" t="s">
        <v>9</v>
      </c>
    </row>
    <row r="5" spans="1:26">
      <c r="A5" t="s">
        <v>294</v>
      </c>
      <c r="B5" s="63" t="s">
        <v>13</v>
      </c>
      <c r="D5" s="240">
        <f>Inflation!C3</f>
        <v>99.6</v>
      </c>
      <c r="E5" s="240">
        <f>Inflation!D3</f>
        <v>99.9</v>
      </c>
      <c r="F5" s="240">
        <f>Inflation!E3</f>
        <v>100.6</v>
      </c>
      <c r="G5" s="240">
        <f>Inflation!F3</f>
        <v>103.2</v>
      </c>
      <c r="H5" s="240">
        <f>Inflation!G3</f>
        <v>105.5</v>
      </c>
      <c r="I5" s="240">
        <f>Inflation!H3</f>
        <v>107.6</v>
      </c>
      <c r="J5" s="240">
        <f>Inflation!I3</f>
        <v>108.6</v>
      </c>
      <c r="K5" s="240">
        <f>J5*(1+Inflation!$C$14)</f>
        <v>110.77199999999999</v>
      </c>
      <c r="L5" s="240">
        <f>K5*(1+Inflation!$C$14)</f>
        <v>112.98743999999999</v>
      </c>
      <c r="M5" s="240">
        <f>L5*(1+Inflation!$C$14)</f>
        <v>115.24718879999999</v>
      </c>
      <c r="N5" s="240">
        <f>M5*(1+Inflation!$C$14)</f>
        <v>117.55213257599999</v>
      </c>
      <c r="O5" s="240">
        <f>N5*(1+Inflation!$C$14)</f>
        <v>119.90317522751999</v>
      </c>
    </row>
    <row r="6" spans="1:26">
      <c r="A6" s="63" t="s">
        <v>213</v>
      </c>
      <c r="B6" s="63" t="s">
        <v>297</v>
      </c>
      <c r="D6" s="240">
        <f>Inflation!$H3/Inflation!C3</f>
        <v>1.0803212851405624</v>
      </c>
      <c r="E6" s="240">
        <f>Inflation!$H3/Inflation!D3</f>
        <v>1.077077077077077</v>
      </c>
      <c r="F6" s="240">
        <f>Inflation!$H3/Inflation!E3</f>
        <v>1.069582504970179</v>
      </c>
      <c r="G6" s="240">
        <f>Inflation!$H3/Inflation!F3</f>
        <v>1.0426356589147285</v>
      </c>
      <c r="H6" s="240">
        <f>Inflation!$H3/Inflation!G3</f>
        <v>1.0199052132701421</v>
      </c>
      <c r="I6" s="240">
        <f>Inflation!$H3/Inflation!H3</f>
        <v>1</v>
      </c>
      <c r="J6" s="240">
        <f>Inflation!$H3/Inflation!I3</f>
        <v>0.99079189686924496</v>
      </c>
      <c r="K6" s="240"/>
      <c r="L6" s="240"/>
      <c r="M6" s="240"/>
      <c r="N6" s="240"/>
      <c r="O6" s="240"/>
    </row>
    <row r="7" spans="1:26">
      <c r="A7" s="63" t="s">
        <v>212</v>
      </c>
      <c r="B7" s="63" t="s">
        <v>297</v>
      </c>
      <c r="D7" s="240"/>
      <c r="E7" s="240"/>
      <c r="F7" s="240"/>
      <c r="G7" s="240"/>
      <c r="H7" s="240"/>
      <c r="I7" s="240"/>
      <c r="J7" s="240"/>
      <c r="K7" s="240">
        <f>Inflation!$H$3/(Inflation!$I$3*(1+Inflation!$C$14)^K3)</f>
        <v>0.97136460477376962</v>
      </c>
      <c r="L7" s="240">
        <f>Inflation!$H$3/(Inflation!$I$3*(1+Inflation!$C$14)^L3)</f>
        <v>0.95231823997428389</v>
      </c>
      <c r="M7" s="240">
        <f>Inflation!$H$3/(Inflation!$I$3*(1+Inflation!$C$14)^M3)</f>
        <v>0.93364533330812149</v>
      </c>
      <c r="N7" s="240">
        <f>Inflation!$H$3/(Inflation!$I$3*(1+Inflation!$C$14)^N3)</f>
        <v>0.91533856206678577</v>
      </c>
      <c r="O7" s="240">
        <f>Inflation!$H$3/(Inflation!$I$3*(1+Inflation!$C$14)^O3)</f>
        <v>0.89739074712429967</v>
      </c>
    </row>
    <row r="8" spans="1:26">
      <c r="A8" s="63" t="s">
        <v>54</v>
      </c>
      <c r="B8" s="63" t="s">
        <v>297</v>
      </c>
      <c r="D8" s="240">
        <f t="shared" ref="D8:O8" si="0">D6+D7</f>
        <v>1.0803212851405624</v>
      </c>
      <c r="E8" s="240">
        <f t="shared" si="0"/>
        <v>1.077077077077077</v>
      </c>
      <c r="F8" s="240">
        <f t="shared" si="0"/>
        <v>1.069582504970179</v>
      </c>
      <c r="G8" s="240">
        <f t="shared" si="0"/>
        <v>1.0426356589147285</v>
      </c>
      <c r="H8" s="240">
        <f t="shared" si="0"/>
        <v>1.0199052132701421</v>
      </c>
      <c r="I8" s="240">
        <f t="shared" si="0"/>
        <v>1</v>
      </c>
      <c r="J8" s="240">
        <f t="shared" si="0"/>
        <v>0.99079189686924496</v>
      </c>
      <c r="K8" s="240">
        <f t="shared" si="0"/>
        <v>0.97136460477376962</v>
      </c>
      <c r="L8" s="240">
        <f t="shared" si="0"/>
        <v>0.95231823997428389</v>
      </c>
      <c r="M8" s="240">
        <f t="shared" si="0"/>
        <v>0.93364533330812149</v>
      </c>
      <c r="N8" s="240">
        <f t="shared" si="0"/>
        <v>0.91533856206678577</v>
      </c>
      <c r="O8" s="240">
        <f t="shared" si="0"/>
        <v>0.89739074712429967</v>
      </c>
    </row>
    <row r="9" spans="1:26">
      <c r="A9" s="63" t="s">
        <v>55</v>
      </c>
      <c r="B9" s="63" t="s">
        <v>297</v>
      </c>
      <c r="D9" s="240">
        <v>1</v>
      </c>
      <c r="E9" s="240">
        <v>1</v>
      </c>
      <c r="F9" s="240">
        <v>1</v>
      </c>
      <c r="G9" s="240">
        <v>1</v>
      </c>
      <c r="H9" s="240">
        <v>1</v>
      </c>
      <c r="I9" s="240">
        <v>1</v>
      </c>
      <c r="J9" s="240">
        <f>Inflation!L6/Inflation!K6</f>
        <v>1.0152671755725191</v>
      </c>
      <c r="K9" s="240">
        <f t="shared" ref="K9:O9" si="1">1/K7</f>
        <v>1.0294795539033457</v>
      </c>
      <c r="L9" s="240">
        <f t="shared" si="1"/>
        <v>1.0500691449814126</v>
      </c>
      <c r="M9" s="240">
        <f t="shared" si="1"/>
        <v>1.0710705278810408</v>
      </c>
      <c r="N9" s="240">
        <f t="shared" si="1"/>
        <v>1.0924919384386618</v>
      </c>
      <c r="O9" s="240">
        <f t="shared" si="1"/>
        <v>1.1143417772074351</v>
      </c>
    </row>
    <row r="10" spans="1:26">
      <c r="D10" s="240"/>
      <c r="E10" s="240"/>
      <c r="F10" s="240"/>
      <c r="G10" s="240"/>
      <c r="H10" s="240"/>
      <c r="I10" s="240"/>
      <c r="J10" s="240"/>
      <c r="K10" s="240"/>
      <c r="L10" s="240"/>
      <c r="M10" s="240"/>
      <c r="N10" s="240"/>
      <c r="O10" s="240"/>
    </row>
    <row r="11" spans="1:26">
      <c r="B11" s="389" t="s">
        <v>10</v>
      </c>
      <c r="C11" s="389"/>
      <c r="D11" s="388" t="s">
        <v>35</v>
      </c>
      <c r="E11" s="388" t="s">
        <v>36</v>
      </c>
      <c r="F11" s="388" t="s">
        <v>37</v>
      </c>
      <c r="G11" s="388" t="s">
        <v>15</v>
      </c>
      <c r="H11" s="388" t="s">
        <v>16</v>
      </c>
      <c r="I11" s="388" t="s">
        <v>0</v>
      </c>
      <c r="J11" s="388" t="s">
        <v>1</v>
      </c>
      <c r="K11" s="388" t="s">
        <v>2</v>
      </c>
      <c r="L11" s="388" t="s">
        <v>3</v>
      </c>
      <c r="M11" s="388" t="s">
        <v>4</v>
      </c>
    </row>
    <row r="12" spans="1:26">
      <c r="A12" t="s">
        <v>255</v>
      </c>
      <c r="B12" s="63" t="s">
        <v>13</v>
      </c>
      <c r="D12" s="240">
        <f>Inflation!C6</f>
        <v>234.4</v>
      </c>
      <c r="E12" s="240">
        <f>Inflation!D6</f>
        <v>242.5</v>
      </c>
      <c r="F12" s="240">
        <f>Inflation!E6</f>
        <v>249.5</v>
      </c>
      <c r="G12" s="240">
        <f>Inflation!F6</f>
        <v>255.7</v>
      </c>
      <c r="H12" s="240">
        <f>Inflation!G6</f>
        <v>258</v>
      </c>
      <c r="I12" s="240">
        <f>Inflation!H6</f>
        <v>261.39999999999998</v>
      </c>
      <c r="J12" s="240">
        <f>Inflation!I6</f>
        <v>270.60000000000002</v>
      </c>
      <c r="K12" s="240">
        <f>Inflation!J6</f>
        <v>279.7</v>
      </c>
      <c r="L12" s="240">
        <f>Inflation!K6</f>
        <v>288.2</v>
      </c>
      <c r="M12" s="240">
        <f>Inflation!L6</f>
        <v>292.60000000000002</v>
      </c>
      <c r="N12" s="240"/>
      <c r="O12" s="240"/>
      <c r="P12" s="240"/>
      <c r="Q12" s="240"/>
      <c r="R12" s="240"/>
      <c r="S12" s="240"/>
      <c r="T12" s="240"/>
      <c r="U12" s="240"/>
      <c r="V12" s="240"/>
      <c r="W12" s="240"/>
      <c r="X12" s="240"/>
      <c r="Y12" s="240"/>
      <c r="Z12" s="240"/>
    </row>
    <row r="13" spans="1:26">
      <c r="A13" s="63" t="s">
        <v>767</v>
      </c>
      <c r="B13" s="63" t="s">
        <v>297</v>
      </c>
      <c r="D13" s="240">
        <f>Inflation!C6/Inflation!$F6</f>
        <v>0.9166992569417286</v>
      </c>
      <c r="E13" s="240">
        <f>Inflation!D6/Inflation!$F6</f>
        <v>0.9483770043019164</v>
      </c>
      <c r="F13" s="240">
        <f>Inflation!E6/Inflation!$F6</f>
        <v>0.97575283535393043</v>
      </c>
      <c r="G13" s="240">
        <f>Inflation!F6/Inflation!$F6</f>
        <v>1</v>
      </c>
      <c r="H13" s="240">
        <f>Inflation!G6/Inflation!$F6</f>
        <v>1.0089949159170903</v>
      </c>
      <c r="I13" s="240">
        <f>Inflation!H6/Inflation!$F6</f>
        <v>1.0222917481423544</v>
      </c>
      <c r="J13" s="240">
        <f>Inflation!I6/Inflation!$F6</f>
        <v>1.0582714118107157</v>
      </c>
      <c r="K13" s="240">
        <f>Inflation!J6/Inflation!$F6</f>
        <v>1.0938599921783341</v>
      </c>
      <c r="L13" s="240">
        <f>Inflation!K6/Inflation!$F6</f>
        <v>1.127102072741494</v>
      </c>
      <c r="M13" s="240"/>
      <c r="N13" s="226"/>
      <c r="O13" s="226"/>
      <c r="P13" s="226"/>
    </row>
    <row r="14" spans="1:26">
      <c r="A14" s="63" t="s">
        <v>768</v>
      </c>
      <c r="B14" s="63" t="s">
        <v>297</v>
      </c>
      <c r="M14" s="240">
        <f>M12/Inflation!$F$6</f>
        <v>1.1443097379741887</v>
      </c>
    </row>
    <row r="15" spans="1:26">
      <c r="A15" s="63" t="s">
        <v>209</v>
      </c>
      <c r="B15" s="63" t="s">
        <v>297</v>
      </c>
      <c r="D15" s="240">
        <f t="shared" ref="D15:M15" si="2">D13+D14</f>
        <v>0.9166992569417286</v>
      </c>
      <c r="E15" s="240">
        <f t="shared" si="2"/>
        <v>0.9483770043019164</v>
      </c>
      <c r="F15" s="240">
        <f t="shared" si="2"/>
        <v>0.97575283535393043</v>
      </c>
      <c r="G15" s="240">
        <f t="shared" si="2"/>
        <v>1</v>
      </c>
      <c r="H15" s="240">
        <f t="shared" si="2"/>
        <v>1.0089949159170903</v>
      </c>
      <c r="I15" s="240">
        <f t="shared" si="2"/>
        <v>1.0222917481423544</v>
      </c>
      <c r="J15" s="240">
        <f t="shared" si="2"/>
        <v>1.0582714118107157</v>
      </c>
      <c r="K15" s="240">
        <f t="shared" si="2"/>
        <v>1.0938599921783341</v>
      </c>
      <c r="L15" s="240">
        <f t="shared" si="2"/>
        <v>1.127102072741494</v>
      </c>
      <c r="M15" s="240">
        <f t="shared" si="2"/>
        <v>1.1443097379741887</v>
      </c>
    </row>
    <row r="16" spans="1:26">
      <c r="A16" s="65"/>
      <c r="B16" s="63" t="s">
        <v>297</v>
      </c>
    </row>
    <row r="17" spans="1:23">
      <c r="A17" s="65" t="s">
        <v>769</v>
      </c>
    </row>
    <row r="18" spans="1:23">
      <c r="A18" s="232" t="s">
        <v>296</v>
      </c>
      <c r="B18" s="63" t="s">
        <v>297</v>
      </c>
      <c r="E18" s="240"/>
      <c r="F18" s="240"/>
      <c r="G18" s="240"/>
      <c r="H18" s="240"/>
      <c r="I18" s="240"/>
      <c r="J18" s="240"/>
      <c r="K18" s="240">
        <f>(M12/G12)*(K5/J5)*(I5/K5)</f>
        <v>1.1337728158933953</v>
      </c>
      <c r="L18" s="240"/>
      <c r="M18" s="240"/>
      <c r="N18" s="240"/>
      <c r="O18" s="240"/>
    </row>
    <row r="19" spans="1:23">
      <c r="A19" s="232"/>
      <c r="D19" s="240"/>
      <c r="E19" s="240"/>
      <c r="F19" s="240"/>
      <c r="G19" s="240"/>
      <c r="H19" s="240"/>
      <c r="I19" s="240"/>
      <c r="J19" s="240"/>
      <c r="K19" s="240"/>
      <c r="L19" s="240"/>
      <c r="M19" s="240"/>
      <c r="N19" s="240"/>
      <c r="O19" s="240"/>
    </row>
    <row r="20" spans="1:23" ht="18">
      <c r="A20" s="256" t="s">
        <v>214</v>
      </c>
      <c r="B20" s="257"/>
    </row>
    <row r="21" spans="1:23">
      <c r="B21" s="389" t="s">
        <v>10</v>
      </c>
      <c r="C21" s="391" t="s">
        <v>328</v>
      </c>
      <c r="D21" s="397">
        <v>39538</v>
      </c>
      <c r="E21" s="397">
        <v>39721</v>
      </c>
      <c r="F21" s="397">
        <v>40086</v>
      </c>
      <c r="G21" s="397">
        <v>40268</v>
      </c>
      <c r="H21" s="397">
        <v>40451</v>
      </c>
      <c r="I21" s="397">
        <v>40816</v>
      </c>
      <c r="J21" s="397">
        <v>41182</v>
      </c>
      <c r="K21" s="397">
        <v>41547</v>
      </c>
      <c r="L21" s="397">
        <v>41912</v>
      </c>
      <c r="M21" s="397">
        <v>42277</v>
      </c>
      <c r="N21" s="397">
        <v>42643</v>
      </c>
      <c r="O21" s="397">
        <v>43008</v>
      </c>
      <c r="P21" s="397">
        <v>43373</v>
      </c>
      <c r="Q21" s="397">
        <v>43738</v>
      </c>
      <c r="R21" s="397">
        <v>44104</v>
      </c>
      <c r="S21" s="397">
        <v>44469</v>
      </c>
      <c r="T21" s="397">
        <v>44834</v>
      </c>
      <c r="U21" s="397">
        <v>45199</v>
      </c>
      <c r="V21" s="397">
        <v>45565</v>
      </c>
      <c r="W21" s="397">
        <v>45930</v>
      </c>
    </row>
    <row r="22" spans="1:23">
      <c r="A22" s="232" t="s">
        <v>215</v>
      </c>
      <c r="B22" s="63" t="s">
        <v>229</v>
      </c>
      <c r="D22" s="226">
        <f>'RAB inputs'!D54</f>
        <v>10</v>
      </c>
      <c r="E22" s="226">
        <f>'RAB inputs'!E54</f>
        <v>10</v>
      </c>
      <c r="F22" s="226">
        <f>'RAB inputs'!F54</f>
        <v>10</v>
      </c>
      <c r="G22" s="226">
        <f>'RAB inputs'!G54</f>
        <v>10</v>
      </c>
      <c r="H22" s="226">
        <f>'RAB inputs'!H54</f>
        <v>8</v>
      </c>
      <c r="I22" s="226">
        <f>'RAB inputs'!I54</f>
        <v>8</v>
      </c>
      <c r="J22" s="226">
        <f>'RAB inputs'!J54</f>
        <v>8</v>
      </c>
      <c r="K22" s="226">
        <f>'RAB inputs'!K54</f>
        <v>8</v>
      </c>
      <c r="L22" s="226">
        <f>'RAB inputs'!L54</f>
        <v>8</v>
      </c>
      <c r="M22" s="226">
        <f>'RAB inputs'!M54</f>
        <v>8</v>
      </c>
      <c r="N22" s="226">
        <f>'RAB inputs'!N54</f>
        <v>5</v>
      </c>
      <c r="O22" s="226">
        <f>'RAB inputs'!O54</f>
        <v>5</v>
      </c>
      <c r="P22" s="226">
        <f>'RAB inputs'!P54</f>
        <v>5</v>
      </c>
      <c r="Q22" s="226">
        <f>'RAB inputs'!Q54</f>
        <v>5</v>
      </c>
      <c r="R22" s="226">
        <f>'RAB inputs'!R54</f>
        <v>5</v>
      </c>
      <c r="S22" s="226">
        <f>'RAB inputs'!S54</f>
        <v>5</v>
      </c>
      <c r="T22" s="226">
        <f>'RAB inputs'!T54</f>
        <v>5</v>
      </c>
      <c r="U22" s="226">
        <f>'RAB inputs'!U54</f>
        <v>5</v>
      </c>
      <c r="V22" s="226">
        <f>'RAB inputs'!V54</f>
        <v>5</v>
      </c>
      <c r="W22" s="226">
        <f>'RAB inputs'!W54</f>
        <v>5</v>
      </c>
    </row>
    <row r="23" spans="1:23">
      <c r="A23" s="232" t="s">
        <v>216</v>
      </c>
      <c r="B23" s="63" t="s">
        <v>229</v>
      </c>
      <c r="D23" s="226">
        <f>'RAB inputs'!D55</f>
        <v>25</v>
      </c>
      <c r="E23" s="226">
        <f>'RAB inputs'!E55</f>
        <v>25</v>
      </c>
      <c r="F23" s="226">
        <f>'RAB inputs'!F55</f>
        <v>25</v>
      </c>
      <c r="G23" s="226">
        <f>'RAB inputs'!G55</f>
        <v>25</v>
      </c>
      <c r="H23" s="226">
        <f>'RAB inputs'!H55</f>
        <v>25</v>
      </c>
      <c r="I23" s="226">
        <f>'RAB inputs'!I55</f>
        <v>25</v>
      </c>
      <c r="J23" s="226">
        <f>'RAB inputs'!J55</f>
        <v>25</v>
      </c>
      <c r="K23" s="226">
        <f>'RAB inputs'!K55</f>
        <v>25</v>
      </c>
      <c r="L23" s="226">
        <f>'RAB inputs'!L55</f>
        <v>25</v>
      </c>
      <c r="M23" s="226">
        <f>'RAB inputs'!M55</f>
        <v>25</v>
      </c>
      <c r="N23" s="226">
        <f>'RAB inputs'!N55</f>
        <v>25</v>
      </c>
      <c r="O23" s="226">
        <f>'RAB inputs'!O55</f>
        <v>25</v>
      </c>
      <c r="P23" s="226">
        <f>'RAB inputs'!P55</f>
        <v>25</v>
      </c>
      <c r="Q23" s="226">
        <f>'RAB inputs'!Q55</f>
        <v>25</v>
      </c>
      <c r="R23" s="226">
        <f>'RAB inputs'!R55</f>
        <v>25</v>
      </c>
      <c r="S23" s="226">
        <f>'RAB inputs'!S55</f>
        <v>25</v>
      </c>
      <c r="T23" s="226">
        <f>'RAB inputs'!T55</f>
        <v>25</v>
      </c>
      <c r="U23" s="226">
        <f>'RAB inputs'!U55</f>
        <v>25</v>
      </c>
      <c r="V23" s="226">
        <f>'RAB inputs'!V55</f>
        <v>25</v>
      </c>
      <c r="W23" s="226">
        <f>'RAB inputs'!W55</f>
        <v>25</v>
      </c>
    </row>
    <row r="24" spans="1:23">
      <c r="A24" s="232" t="s">
        <v>48</v>
      </c>
      <c r="B24" s="63" t="s">
        <v>229</v>
      </c>
      <c r="N24" s="226">
        <f>'RAB inputs'!L56</f>
        <v>5</v>
      </c>
      <c r="O24" s="226">
        <f>'RAB inputs'!M56</f>
        <v>5</v>
      </c>
      <c r="P24" s="226">
        <f>'RAB inputs'!N56</f>
        <v>5</v>
      </c>
      <c r="Q24" s="226">
        <f>'RAB inputs'!O56</f>
        <v>5</v>
      </c>
      <c r="R24" s="226">
        <f>'RAB inputs'!P56</f>
        <v>5</v>
      </c>
      <c r="S24" s="226">
        <f>'RAB inputs'!Q56</f>
        <v>5</v>
      </c>
      <c r="T24" s="226">
        <f>'RAB inputs'!R56</f>
        <v>5</v>
      </c>
      <c r="U24" s="226">
        <f>'RAB inputs'!S56</f>
        <v>5</v>
      </c>
      <c r="V24" s="226">
        <f>'RAB inputs'!T56</f>
        <v>5</v>
      </c>
      <c r="W24" s="226">
        <f>'RAB inputs'!U56</f>
        <v>5</v>
      </c>
    </row>
    <row r="25" spans="1:23" s="286" customFormat="1">
      <c r="A25" s="232"/>
      <c r="N25" s="226"/>
      <c r="O25" s="226"/>
      <c r="P25" s="226"/>
      <c r="Q25" s="226"/>
      <c r="R25" s="226"/>
      <c r="S25" s="226"/>
      <c r="T25" s="226"/>
      <c r="U25" s="226"/>
      <c r="V25" s="226"/>
      <c r="W25" s="226"/>
    </row>
    <row r="26" spans="1:23" s="286" customFormat="1" ht="18">
      <c r="A26" s="256" t="s">
        <v>408</v>
      </c>
      <c r="B26" s="285"/>
      <c r="C26" s="285"/>
      <c r="D26" s="285"/>
      <c r="E26" s="285"/>
      <c r="F26" s="285"/>
      <c r="G26" s="285"/>
      <c r="H26" s="285"/>
      <c r="I26" s="285"/>
      <c r="N26" s="226"/>
      <c r="O26" s="226"/>
      <c r="P26" s="226"/>
      <c r="Q26" s="226"/>
      <c r="R26" s="226"/>
      <c r="S26" s="226"/>
      <c r="T26" s="226"/>
      <c r="U26" s="226"/>
      <c r="V26" s="226"/>
      <c r="W26" s="226"/>
    </row>
    <row r="27" spans="1:23" s="286" customFormat="1">
      <c r="A27" s="232" t="s">
        <v>773</v>
      </c>
      <c r="B27" s="285"/>
      <c r="C27" s="285"/>
      <c r="D27" s="285"/>
      <c r="E27" s="285"/>
      <c r="F27" s="285"/>
      <c r="G27" s="285"/>
      <c r="H27" s="285"/>
      <c r="I27" s="285"/>
      <c r="N27" s="226"/>
      <c r="O27" s="226"/>
      <c r="P27" s="226"/>
      <c r="Q27" s="226"/>
      <c r="R27" s="226"/>
      <c r="S27" s="226"/>
      <c r="T27" s="226"/>
      <c r="U27" s="226"/>
      <c r="V27" s="226"/>
      <c r="W27" s="226"/>
    </row>
    <row r="28" spans="1:23" s="286" customFormat="1">
      <c r="A28" s="232"/>
      <c r="B28" s="285"/>
      <c r="C28" s="285"/>
      <c r="D28" s="285"/>
      <c r="E28" s="285"/>
      <c r="F28" s="285"/>
      <c r="G28" s="285"/>
      <c r="H28" s="285"/>
      <c r="I28" s="285"/>
      <c r="N28" s="226"/>
      <c r="O28" s="226"/>
      <c r="P28" s="226"/>
      <c r="Q28" s="226"/>
      <c r="R28" s="226"/>
      <c r="S28" s="226"/>
      <c r="T28" s="226"/>
      <c r="U28" s="226"/>
      <c r="V28" s="226"/>
      <c r="W28" s="226"/>
    </row>
    <row r="29" spans="1:23" s="286" customFormat="1">
      <c r="A29" s="1" t="s">
        <v>718</v>
      </c>
      <c r="B29" s="389" t="s">
        <v>10</v>
      </c>
      <c r="C29" s="389" t="s">
        <v>11</v>
      </c>
      <c r="D29" s="388" t="s">
        <v>0</v>
      </c>
      <c r="E29" s="388" t="s">
        <v>1</v>
      </c>
      <c r="F29" s="388" t="s">
        <v>2</v>
      </c>
      <c r="G29" s="388" t="s">
        <v>3</v>
      </c>
      <c r="H29" s="388" t="s">
        <v>4</v>
      </c>
      <c r="I29" s="388" t="s">
        <v>20</v>
      </c>
      <c r="N29" s="226"/>
      <c r="O29" s="226"/>
      <c r="P29" s="226"/>
      <c r="Q29" s="226"/>
      <c r="R29" s="226"/>
      <c r="S29" s="226"/>
      <c r="T29" s="226"/>
      <c r="U29" s="226"/>
      <c r="V29" s="226"/>
      <c r="W29" s="226"/>
    </row>
    <row r="30" spans="1:23" s="286" customFormat="1">
      <c r="A30" s="285" t="s">
        <v>415</v>
      </c>
      <c r="B30" s="286" t="s">
        <v>40</v>
      </c>
      <c r="C30" s="232" t="s">
        <v>217</v>
      </c>
      <c r="D30" s="66">
        <f>'RAB inputs'!D102/I$15</f>
        <v>914.61170619739858</v>
      </c>
      <c r="E30" s="66">
        <f>'RAB inputs'!E102/J$15</f>
        <v>719.09719142645974</v>
      </c>
      <c r="F30" s="66">
        <f>'RAB inputs'!F102/K$15</f>
        <v>394.93171254915978</v>
      </c>
      <c r="G30" s="66">
        <f>'RAB inputs'!G102/L$15</f>
        <v>920.05863983344898</v>
      </c>
      <c r="H30" s="66">
        <f>'RAB inputs'!H102/M$15</f>
        <v>1174.380463089542</v>
      </c>
      <c r="I30" s="66">
        <f>SUM(D30:H30)</f>
        <v>4123.0797130960091</v>
      </c>
      <c r="N30" s="226"/>
      <c r="O30" s="226"/>
      <c r="P30" s="226"/>
      <c r="Q30" s="226"/>
      <c r="R30" s="226"/>
      <c r="S30" s="226"/>
      <c r="T30" s="226"/>
      <c r="U30" s="226"/>
      <c r="V30" s="226"/>
      <c r="W30" s="226"/>
    </row>
    <row r="31" spans="1:23" s="286" customFormat="1">
      <c r="A31" s="285"/>
      <c r="C31" s="232"/>
      <c r="D31" s="66"/>
      <c r="E31" s="66"/>
      <c r="F31" s="66"/>
      <c r="G31" s="66"/>
      <c r="H31" s="66"/>
      <c r="I31" s="66"/>
      <c r="N31" s="226"/>
      <c r="O31" s="226"/>
      <c r="P31" s="226"/>
      <c r="Q31" s="226"/>
      <c r="R31" s="226"/>
      <c r="S31" s="226"/>
      <c r="T31" s="226"/>
      <c r="U31" s="226"/>
      <c r="V31" s="226"/>
      <c r="W31" s="226"/>
    </row>
    <row r="32" spans="1:23" s="286" customFormat="1">
      <c r="A32" s="1" t="s">
        <v>412</v>
      </c>
      <c r="B32" s="389" t="s">
        <v>10</v>
      </c>
      <c r="C32" s="389" t="s">
        <v>11</v>
      </c>
      <c r="D32" s="388" t="s">
        <v>0</v>
      </c>
      <c r="E32" s="388" t="s">
        <v>1</v>
      </c>
      <c r="F32" s="388" t="s">
        <v>2</v>
      </c>
      <c r="G32" s="388" t="s">
        <v>3</v>
      </c>
      <c r="H32" s="388" t="s">
        <v>4</v>
      </c>
      <c r="I32" s="388" t="s">
        <v>20</v>
      </c>
      <c r="N32" s="226"/>
      <c r="O32" s="226"/>
      <c r="P32" s="226"/>
      <c r="Q32" s="226"/>
      <c r="R32" s="226"/>
      <c r="S32" s="226"/>
      <c r="T32" s="226"/>
      <c r="U32" s="226"/>
      <c r="V32" s="226"/>
      <c r="W32" s="226"/>
    </row>
    <row r="33" spans="1:23" s="286" customFormat="1">
      <c r="A33" s="285" t="s">
        <v>413</v>
      </c>
      <c r="B33" s="286" t="s">
        <v>40</v>
      </c>
      <c r="C33" s="232" t="s">
        <v>217</v>
      </c>
      <c r="D33" s="66">
        <f>'RAB inputs'!D106/I$15</f>
        <v>191.72609028309105</v>
      </c>
      <c r="E33" s="66">
        <f>'RAB inputs'!E106/J$15</f>
        <v>24.568366592756835</v>
      </c>
      <c r="F33" s="66">
        <f>'RAB inputs'!F106/K$15</f>
        <v>15.541294243832677</v>
      </c>
      <c r="G33" s="66">
        <f>'RAB inputs'!G106/L$15</f>
        <v>34.602012491325468</v>
      </c>
      <c r="H33" s="66">
        <f>'RAB inputs'!H106/M$15</f>
        <v>0</v>
      </c>
      <c r="I33" s="66">
        <f>SUM(D33:H33)</f>
        <v>266.43776361100606</v>
      </c>
      <c r="N33" s="226"/>
      <c r="O33" s="226"/>
      <c r="P33" s="226"/>
      <c r="Q33" s="226"/>
      <c r="R33" s="226"/>
      <c r="S33" s="226"/>
      <c r="T33" s="226"/>
      <c r="U33" s="226"/>
      <c r="V33" s="226"/>
      <c r="W33" s="226"/>
    </row>
    <row r="34" spans="1:23" s="286" customFormat="1">
      <c r="N34" s="226"/>
      <c r="O34" s="226"/>
      <c r="P34" s="226"/>
      <c r="Q34" s="226"/>
      <c r="R34" s="226"/>
      <c r="S34" s="226"/>
      <c r="T34" s="226"/>
      <c r="U34" s="226"/>
      <c r="V34" s="226"/>
      <c r="W34" s="226"/>
    </row>
    <row r="35" spans="1:23" ht="18">
      <c r="A35" s="256" t="s">
        <v>298</v>
      </c>
      <c r="B35" s="257"/>
    </row>
    <row r="36" spans="1:23">
      <c r="B36" s="390"/>
      <c r="C36" s="391" t="s">
        <v>285</v>
      </c>
      <c r="D36" s="398">
        <v>42278</v>
      </c>
      <c r="E36" s="398">
        <v>42644</v>
      </c>
      <c r="F36" s="398">
        <v>43009</v>
      </c>
      <c r="G36" s="398">
        <v>43374</v>
      </c>
      <c r="H36" s="398">
        <v>43739</v>
      </c>
    </row>
    <row r="37" spans="1:23">
      <c r="B37" s="390"/>
      <c r="C37" s="391" t="s">
        <v>286</v>
      </c>
      <c r="D37" s="392">
        <v>42643</v>
      </c>
      <c r="E37" s="392">
        <v>43008</v>
      </c>
      <c r="F37" s="392">
        <v>43373</v>
      </c>
      <c r="G37" s="392">
        <v>43738</v>
      </c>
      <c r="H37" s="392">
        <v>44104</v>
      </c>
    </row>
    <row r="38" spans="1:23">
      <c r="B38" s="389" t="s">
        <v>10</v>
      </c>
      <c r="C38" s="389" t="s">
        <v>11</v>
      </c>
      <c r="D38" s="392"/>
      <c r="E38" s="392"/>
      <c r="F38" s="392"/>
      <c r="G38" s="392"/>
      <c r="H38" s="392"/>
    </row>
    <row r="39" spans="1:23">
      <c r="A39" s="63" t="s">
        <v>223</v>
      </c>
      <c r="B39" s="63" t="s">
        <v>40</v>
      </c>
      <c r="C39" s="232" t="s">
        <v>217</v>
      </c>
      <c r="D39" s="234">
        <f>'RAB inputs'!N19</f>
        <v>1408.5</v>
      </c>
      <c r="E39" s="234">
        <f>'RAB inputs'!O19</f>
        <v>1304.1000000000001</v>
      </c>
      <c r="F39" s="234">
        <f>'RAB inputs'!P19</f>
        <v>1035</v>
      </c>
      <c r="G39" s="234">
        <f>'RAB inputs'!Q19</f>
        <v>1369.8</v>
      </c>
      <c r="H39" s="234">
        <f>'RAB inputs'!R19</f>
        <v>1717.1999999999998</v>
      </c>
    </row>
    <row r="40" spans="1:23">
      <c r="A40" s="63" t="s">
        <v>246</v>
      </c>
      <c r="B40" s="63" t="s">
        <v>40</v>
      </c>
      <c r="C40" s="232" t="s">
        <v>217</v>
      </c>
      <c r="D40" s="234">
        <f>D30</f>
        <v>914.61170619739858</v>
      </c>
      <c r="E40" s="234">
        <f>E30</f>
        <v>719.09719142645974</v>
      </c>
      <c r="F40" s="234">
        <f>F30</f>
        <v>394.93171254915978</v>
      </c>
      <c r="G40" s="234">
        <f>G30</f>
        <v>920.05863983344898</v>
      </c>
      <c r="H40" s="234">
        <f>H30</f>
        <v>1174.380463089542</v>
      </c>
    </row>
    <row r="41" spans="1:23">
      <c r="A41" s="232" t="s">
        <v>278</v>
      </c>
      <c r="B41" s="63" t="s">
        <v>40</v>
      </c>
      <c r="C41" s="232" t="s">
        <v>217</v>
      </c>
      <c r="D41" s="234">
        <f>D39+0.5*(D40-D39)</f>
        <v>1161.5558530986993</v>
      </c>
      <c r="E41" s="234">
        <f t="shared" ref="E41:H41" si="3">E39+0.5*(E40-E39)</f>
        <v>1011.59859571323</v>
      </c>
      <c r="F41" s="234">
        <f t="shared" si="3"/>
        <v>714.96585627457989</v>
      </c>
      <c r="G41" s="234">
        <f t="shared" si="3"/>
        <v>1144.9293199167246</v>
      </c>
      <c r="H41" s="234">
        <f t="shared" si="3"/>
        <v>1445.7902315447709</v>
      </c>
    </row>
    <row r="42" spans="1:23">
      <c r="A42" s="65"/>
    </row>
    <row r="43" spans="1:23" ht="18">
      <c r="A43" s="256" t="s">
        <v>299</v>
      </c>
      <c r="B43" s="257"/>
    </row>
    <row r="44" spans="1:23">
      <c r="B44" s="390"/>
      <c r="C44" s="391" t="s">
        <v>285</v>
      </c>
      <c r="D44" s="398">
        <v>42278</v>
      </c>
      <c r="E44" s="398">
        <v>42644</v>
      </c>
      <c r="F44" s="398">
        <v>43009</v>
      </c>
      <c r="G44" s="398">
        <v>43374</v>
      </c>
      <c r="H44" s="398">
        <v>43739</v>
      </c>
    </row>
    <row r="45" spans="1:23">
      <c r="B45" s="390"/>
      <c r="C45" s="391" t="s">
        <v>286</v>
      </c>
      <c r="D45" s="392">
        <v>42643</v>
      </c>
      <c r="E45" s="392">
        <v>43008</v>
      </c>
      <c r="F45" s="392">
        <v>43373</v>
      </c>
      <c r="G45" s="392">
        <v>43738</v>
      </c>
      <c r="H45" s="392">
        <v>44104</v>
      </c>
    </row>
    <row r="46" spans="1:23">
      <c r="B46" s="389" t="s">
        <v>10</v>
      </c>
      <c r="C46" s="389" t="s">
        <v>11</v>
      </c>
      <c r="D46" s="392"/>
      <c r="E46" s="392"/>
      <c r="F46" s="392"/>
      <c r="G46" s="392"/>
      <c r="H46" s="392"/>
    </row>
    <row r="47" spans="1:23">
      <c r="A47" s="63" t="s">
        <v>223</v>
      </c>
      <c r="B47" s="63" t="s">
        <v>40</v>
      </c>
      <c r="C47" s="232" t="s">
        <v>217</v>
      </c>
      <c r="D47" s="234">
        <v>0</v>
      </c>
      <c r="E47" s="234">
        <v>0</v>
      </c>
      <c r="F47" s="234">
        <v>0</v>
      </c>
      <c r="G47" s="234">
        <v>0</v>
      </c>
      <c r="H47" s="234">
        <v>0</v>
      </c>
    </row>
    <row r="48" spans="1:23">
      <c r="A48" s="63" t="s">
        <v>246</v>
      </c>
      <c r="B48" s="63" t="s">
        <v>40</v>
      </c>
      <c r="C48" s="232" t="s">
        <v>217</v>
      </c>
      <c r="D48" s="234">
        <f>D33</f>
        <v>191.72609028309105</v>
      </c>
      <c r="E48" s="234">
        <f>E33</f>
        <v>24.568366592756835</v>
      </c>
      <c r="F48" s="234">
        <f>F33</f>
        <v>15.541294243832677</v>
      </c>
      <c r="G48" s="234">
        <f>G33</f>
        <v>34.602012491325468</v>
      </c>
      <c r="H48" s="234">
        <f>H33</f>
        <v>0</v>
      </c>
    </row>
    <row r="49" spans="1:23">
      <c r="A49" s="232" t="s">
        <v>278</v>
      </c>
      <c r="B49" s="63" t="s">
        <v>40</v>
      </c>
      <c r="C49" s="232" t="s">
        <v>217</v>
      </c>
      <c r="D49" s="234">
        <f>D47+0.5*(D48-D47)</f>
        <v>95.863045141545527</v>
      </c>
      <c r="E49" s="234">
        <f t="shared" ref="E49:H49" si="4">E47+0.5*(E48-E47)</f>
        <v>12.284183296378417</v>
      </c>
      <c r="F49" s="234">
        <f t="shared" si="4"/>
        <v>7.7706471219163387</v>
      </c>
      <c r="G49" s="234">
        <f t="shared" si="4"/>
        <v>17.301006245662734</v>
      </c>
      <c r="H49" s="234">
        <f t="shared" si="4"/>
        <v>0</v>
      </c>
    </row>
    <row r="50" spans="1:23" s="286" customFormat="1">
      <c r="A50" s="232"/>
      <c r="C50" s="232"/>
      <c r="D50" s="234"/>
      <c r="E50" s="234"/>
      <c r="F50" s="234"/>
      <c r="G50" s="234"/>
      <c r="H50" s="234"/>
    </row>
    <row r="51" spans="1:23" ht="18">
      <c r="A51" s="256" t="s">
        <v>329</v>
      </c>
      <c r="B51" s="257"/>
    </row>
    <row r="52" spans="1:23">
      <c r="B52" s="390"/>
      <c r="C52" s="391" t="s">
        <v>285</v>
      </c>
      <c r="D52" s="398">
        <v>39387</v>
      </c>
      <c r="E52" s="398">
        <v>39539</v>
      </c>
      <c r="F52" s="398">
        <v>39722</v>
      </c>
      <c r="G52" s="398">
        <v>40087</v>
      </c>
      <c r="H52" s="398">
        <v>40269</v>
      </c>
      <c r="I52" s="398">
        <v>40452</v>
      </c>
      <c r="J52" s="398">
        <v>40817</v>
      </c>
      <c r="K52" s="398">
        <v>41183</v>
      </c>
      <c r="L52" s="398">
        <v>41548</v>
      </c>
      <c r="M52" s="398">
        <v>41913</v>
      </c>
      <c r="N52" s="398">
        <v>42278</v>
      </c>
      <c r="O52" s="398">
        <v>42644</v>
      </c>
      <c r="P52" s="398">
        <v>43009</v>
      </c>
      <c r="Q52" s="398">
        <v>43374</v>
      </c>
      <c r="R52" s="398">
        <v>43739</v>
      </c>
      <c r="S52" s="398">
        <v>44105</v>
      </c>
      <c r="T52" s="398">
        <v>44470</v>
      </c>
      <c r="U52" s="398">
        <v>44835</v>
      </c>
      <c r="V52" s="398">
        <v>45200</v>
      </c>
      <c r="W52" s="398">
        <v>45566</v>
      </c>
    </row>
    <row r="53" spans="1:23">
      <c r="B53" s="390"/>
      <c r="C53" s="391" t="s">
        <v>286</v>
      </c>
      <c r="D53" s="398">
        <v>39538</v>
      </c>
      <c r="E53" s="398">
        <v>39721</v>
      </c>
      <c r="F53" s="398">
        <v>40086</v>
      </c>
      <c r="G53" s="398">
        <v>40268</v>
      </c>
      <c r="H53" s="398">
        <v>40451</v>
      </c>
      <c r="I53" s="392">
        <v>40816</v>
      </c>
      <c r="J53" s="392">
        <v>41182</v>
      </c>
      <c r="K53" s="392">
        <v>41547</v>
      </c>
      <c r="L53" s="392">
        <v>41912</v>
      </c>
      <c r="M53" s="392">
        <v>42277</v>
      </c>
      <c r="N53" s="392">
        <v>42643</v>
      </c>
      <c r="O53" s="392">
        <v>43008</v>
      </c>
      <c r="P53" s="392">
        <v>43373</v>
      </c>
      <c r="Q53" s="392">
        <v>43738</v>
      </c>
      <c r="R53" s="392">
        <v>44104</v>
      </c>
      <c r="S53" s="392">
        <v>44469</v>
      </c>
      <c r="T53" s="392">
        <v>44834</v>
      </c>
      <c r="U53" s="392">
        <v>45199</v>
      </c>
      <c r="V53" s="392">
        <v>45565</v>
      </c>
      <c r="W53" s="392">
        <v>45930</v>
      </c>
    </row>
    <row r="54" spans="1:23">
      <c r="A54" s="65" t="s">
        <v>279</v>
      </c>
      <c r="B54" s="389" t="s">
        <v>10</v>
      </c>
      <c r="C54" s="389" t="s">
        <v>11</v>
      </c>
      <c r="D54" s="399"/>
      <c r="E54" s="399"/>
      <c r="F54" s="399"/>
      <c r="G54" s="399"/>
      <c r="H54" s="399"/>
      <c r="I54" s="400"/>
      <c r="J54" s="400"/>
      <c r="K54" s="400"/>
      <c r="L54" s="400"/>
      <c r="M54" s="400"/>
      <c r="N54" s="400"/>
      <c r="O54" s="400"/>
      <c r="P54" s="400"/>
      <c r="Q54" s="400"/>
      <c r="R54" s="400"/>
      <c r="S54" s="400"/>
      <c r="T54" s="400"/>
      <c r="U54" s="400"/>
      <c r="V54" s="400"/>
      <c r="W54" s="400"/>
    </row>
    <row r="55" spans="1:23">
      <c r="A55" s="63" t="s">
        <v>218</v>
      </c>
      <c r="B55" s="63" t="s">
        <v>40</v>
      </c>
      <c r="C55" s="232" t="s">
        <v>217</v>
      </c>
      <c r="D55" s="234">
        <f>'RAB inputs'!D11</f>
        <v>2116.7832446290081</v>
      </c>
      <c r="E55" s="234">
        <f>'RAB inputs'!E11</f>
        <v>1262.6801421709006</v>
      </c>
      <c r="F55" s="234">
        <f>'RAB inputs'!F11</f>
        <v>2346.1860374137109</v>
      </c>
      <c r="G55" s="234">
        <f>'RAB inputs'!G11</f>
        <v>1466.300982890592</v>
      </c>
      <c r="H55" s="234"/>
      <c r="I55" s="234"/>
      <c r="J55" s="234"/>
      <c r="K55" s="234"/>
      <c r="L55" s="234"/>
      <c r="M55" s="234"/>
      <c r="N55" s="234"/>
      <c r="O55" s="234"/>
      <c r="P55" s="234"/>
      <c r="Q55" s="234"/>
      <c r="R55" s="234"/>
      <c r="S55" s="234"/>
      <c r="T55" s="234"/>
      <c r="U55" s="234"/>
      <c r="V55" s="234"/>
      <c r="W55" s="234"/>
    </row>
    <row r="56" spans="1:23">
      <c r="A56" s="63" t="s">
        <v>219</v>
      </c>
      <c r="B56" s="63" t="s">
        <v>40</v>
      </c>
      <c r="C56" s="232" t="s">
        <v>217</v>
      </c>
      <c r="D56" s="234">
        <f>'RAB inputs'!D12</f>
        <v>0</v>
      </c>
      <c r="E56" s="234">
        <f>'RAB inputs'!E12</f>
        <v>0</v>
      </c>
      <c r="F56" s="234">
        <f>'RAB inputs'!F12</f>
        <v>1308.4658697862565</v>
      </c>
      <c r="G56" s="234">
        <f>'RAB inputs'!G12</f>
        <v>1568.8724418280337</v>
      </c>
      <c r="H56" s="234"/>
      <c r="I56" s="234"/>
      <c r="J56" s="234"/>
      <c r="K56" s="234"/>
      <c r="L56" s="234"/>
      <c r="M56" s="234"/>
      <c r="N56" s="234"/>
      <c r="O56" s="234"/>
      <c r="P56" s="234"/>
      <c r="Q56" s="234"/>
      <c r="R56" s="234"/>
      <c r="S56" s="234"/>
      <c r="T56" s="234"/>
      <c r="U56" s="234"/>
      <c r="V56" s="234"/>
      <c r="W56" s="234"/>
    </row>
    <row r="57" spans="1:23">
      <c r="A57" s="63" t="s">
        <v>224</v>
      </c>
      <c r="B57" s="63" t="s">
        <v>40</v>
      </c>
      <c r="C57" s="232" t="s">
        <v>217</v>
      </c>
      <c r="D57" s="234"/>
      <c r="E57" s="234"/>
      <c r="F57" s="234"/>
      <c r="G57" s="234"/>
      <c r="H57" s="234">
        <f>'RAB inputs'!H13</f>
        <v>1047.8191202872531</v>
      </c>
      <c r="I57" s="234">
        <f>'RAB inputs'!I13</f>
        <v>1013.3891382405744</v>
      </c>
      <c r="J57" s="234">
        <f>'RAB inputs'!J13</f>
        <v>1365.722621184919</v>
      </c>
      <c r="K57" s="234">
        <f>'RAB inputs'!K13</f>
        <v>281.17818671454216</v>
      </c>
      <c r="L57" s="234">
        <f>'RAB inputs'!L13</f>
        <v>1589.5175044883301</v>
      </c>
      <c r="M57" s="234">
        <f>'RAB inputs'!M13</f>
        <v>418.89811490125669</v>
      </c>
      <c r="N57" s="234"/>
      <c r="O57" s="234"/>
      <c r="P57" s="234"/>
      <c r="Q57" s="234"/>
      <c r="R57" s="234"/>
      <c r="S57" s="234"/>
      <c r="T57" s="234"/>
      <c r="U57" s="234"/>
      <c r="V57" s="234"/>
      <c r="W57" s="234"/>
    </row>
    <row r="58" spans="1:23">
      <c r="A58" s="63" t="s">
        <v>220</v>
      </c>
      <c r="B58" s="63" t="s">
        <v>40</v>
      </c>
      <c r="C58" s="232" t="s">
        <v>217</v>
      </c>
      <c r="D58" s="234">
        <v>687.15121839654023</v>
      </c>
      <c r="E58" s="234">
        <v>827.64373752494998</v>
      </c>
      <c r="F58" s="234">
        <v>1656.5634231536922</v>
      </c>
      <c r="G58" s="234">
        <v>828.28171157684608</v>
      </c>
      <c r="H58" s="234">
        <v>1034.5546719061877</v>
      </c>
      <c r="I58" s="234">
        <v>2069.1093438123753</v>
      </c>
      <c r="J58" s="234">
        <v>2069.1093438123753</v>
      </c>
      <c r="K58" s="234">
        <v>2069.1093438123753</v>
      </c>
      <c r="L58" s="234">
        <v>2069.1093438123753</v>
      </c>
      <c r="M58" s="234">
        <v>2069.1093438123753</v>
      </c>
      <c r="N58" s="241"/>
      <c r="O58" s="241"/>
      <c r="P58" s="241"/>
      <c r="Q58" s="241"/>
      <c r="R58" s="241"/>
      <c r="S58" s="241"/>
      <c r="T58" s="241"/>
      <c r="U58" s="241"/>
      <c r="V58" s="241"/>
      <c r="W58" s="241"/>
    </row>
    <row r="59" spans="1:23">
      <c r="A59" s="63" t="s">
        <v>221</v>
      </c>
      <c r="B59" s="63" t="s">
        <v>40</v>
      </c>
      <c r="C59" s="232" t="s">
        <v>217</v>
      </c>
      <c r="D59" s="234"/>
      <c r="E59" s="234"/>
      <c r="F59" s="234">
        <v>71.046407396004938</v>
      </c>
      <c r="G59" s="234">
        <v>65.423293489312812</v>
      </c>
      <c r="H59" s="234"/>
      <c r="I59" s="234"/>
      <c r="J59" s="234"/>
      <c r="K59" s="234"/>
      <c r="L59" s="234"/>
      <c r="M59" s="234"/>
      <c r="N59" s="234"/>
      <c r="O59" s="234"/>
      <c r="P59" s="234"/>
      <c r="Q59" s="234"/>
      <c r="R59" s="234"/>
      <c r="S59" s="234"/>
      <c r="T59" s="234"/>
      <c r="U59" s="234"/>
      <c r="V59" s="234"/>
      <c r="W59" s="234"/>
    </row>
    <row r="60" spans="1:23">
      <c r="A60" s="63" t="s">
        <v>222</v>
      </c>
      <c r="B60" s="63" t="s">
        <v>40</v>
      </c>
      <c r="C60" s="232" t="s">
        <v>217</v>
      </c>
      <c r="D60" s="234"/>
      <c r="E60" s="234"/>
      <c r="F60" s="234"/>
      <c r="G60" s="234">
        <v>12.377105725354388</v>
      </c>
      <c r="H60" s="234"/>
      <c r="I60" s="234"/>
      <c r="J60" s="234"/>
      <c r="K60" s="234"/>
      <c r="L60" s="234"/>
      <c r="M60" s="234"/>
      <c r="N60" s="234"/>
      <c r="O60" s="234"/>
      <c r="P60" s="234"/>
      <c r="Q60" s="234"/>
      <c r="R60" s="234"/>
      <c r="S60" s="234"/>
      <c r="T60" s="234"/>
      <c r="U60" s="234"/>
      <c r="V60" s="234"/>
      <c r="W60" s="234"/>
    </row>
    <row r="61" spans="1:23">
      <c r="C61" s="232"/>
      <c r="D61" s="234"/>
      <c r="E61" s="234"/>
      <c r="F61" s="234"/>
      <c r="G61" s="234"/>
      <c r="H61" s="234"/>
      <c r="I61" s="234"/>
      <c r="J61" s="234"/>
      <c r="K61" s="234"/>
      <c r="L61" s="234"/>
      <c r="M61" s="234"/>
      <c r="N61" s="234"/>
      <c r="O61" s="234"/>
      <c r="P61" s="234"/>
      <c r="Q61" s="234"/>
      <c r="R61" s="234"/>
      <c r="S61" s="234"/>
      <c r="T61" s="234"/>
      <c r="U61" s="234"/>
      <c r="V61" s="234"/>
      <c r="W61" s="234"/>
    </row>
    <row r="62" spans="1:23">
      <c r="A62" s="65" t="s">
        <v>280</v>
      </c>
    </row>
    <row r="63" spans="1:23">
      <c r="A63" s="63" t="s">
        <v>254</v>
      </c>
      <c r="B63" s="63" t="s">
        <v>40</v>
      </c>
      <c r="C63" s="232" t="s">
        <v>217</v>
      </c>
      <c r="D63" s="234"/>
      <c r="E63" s="234"/>
      <c r="F63" s="234"/>
      <c r="G63" s="234"/>
      <c r="H63" s="234"/>
      <c r="I63" s="234"/>
      <c r="J63" s="234"/>
      <c r="K63" s="234"/>
      <c r="L63" s="234"/>
      <c r="M63" s="234"/>
      <c r="N63" s="234">
        <f>D41</f>
        <v>1161.5558530986993</v>
      </c>
      <c r="O63" s="234">
        <f>E41</f>
        <v>1011.59859571323</v>
      </c>
      <c r="P63" s="234">
        <f>F41</f>
        <v>714.96585627457989</v>
      </c>
      <c r="Q63" s="234">
        <f>G41</f>
        <v>1144.9293199167246</v>
      </c>
      <c r="R63" s="234">
        <f>H41</f>
        <v>1445.7902315447709</v>
      </c>
      <c r="S63" s="234"/>
      <c r="T63" s="234"/>
      <c r="U63" s="234"/>
      <c r="V63" s="234"/>
      <c r="W63" s="234"/>
    </row>
    <row r="64" spans="1:23">
      <c r="A64" s="63" t="s">
        <v>253</v>
      </c>
      <c r="B64" s="63" t="s">
        <v>40</v>
      </c>
      <c r="C64" s="232" t="s">
        <v>217</v>
      </c>
      <c r="D64" s="234"/>
      <c r="E64" s="234"/>
      <c r="F64" s="234"/>
      <c r="G64" s="234"/>
      <c r="H64" s="234"/>
      <c r="I64" s="234"/>
      <c r="J64" s="234"/>
      <c r="K64" s="234"/>
      <c r="L64" s="234"/>
      <c r="M64" s="234"/>
      <c r="N64" s="234">
        <f>'RAB inputs'!N20</f>
        <v>3999.2616251784443</v>
      </c>
      <c r="O64" s="234">
        <f>'RAB inputs'!O20</f>
        <v>1762.9726765238149</v>
      </c>
      <c r="P64" s="234">
        <f>'RAB inputs'!P20</f>
        <v>1363.870779847397</v>
      </c>
      <c r="Q64" s="234">
        <f>'RAB inputs'!Q20</f>
        <v>1312.7862152154398</v>
      </c>
      <c r="R64" s="234">
        <f>'RAB inputs'!R20</f>
        <v>1272.6674596050275</v>
      </c>
      <c r="S64" s="234"/>
      <c r="T64" s="234"/>
      <c r="U64" s="234"/>
      <c r="V64" s="234"/>
      <c r="W64" s="234"/>
    </row>
    <row r="65" spans="1:24">
      <c r="C65" s="232"/>
      <c r="D65" s="234"/>
      <c r="E65" s="234"/>
      <c r="F65" s="234"/>
      <c r="G65" s="234"/>
      <c r="H65" s="234"/>
      <c r="I65" s="234"/>
      <c r="J65" s="234"/>
      <c r="K65" s="234"/>
      <c r="L65" s="234"/>
      <c r="M65" s="234"/>
      <c r="N65" s="234"/>
      <c r="O65" s="234"/>
      <c r="P65" s="234"/>
      <c r="Q65" s="234"/>
      <c r="R65" s="234"/>
      <c r="S65" s="234"/>
      <c r="T65" s="234"/>
      <c r="U65" s="234"/>
      <c r="V65" s="234"/>
      <c r="W65" s="234"/>
    </row>
    <row r="66" spans="1:24">
      <c r="A66" s="65" t="s">
        <v>772</v>
      </c>
    </row>
    <row r="67" spans="1:24">
      <c r="A67" s="286" t="s">
        <v>320</v>
      </c>
      <c r="B67" s="286" t="s">
        <v>40</v>
      </c>
      <c r="C67" s="232" t="s">
        <v>53</v>
      </c>
      <c r="D67" s="234"/>
      <c r="E67" s="234"/>
      <c r="F67" s="234"/>
      <c r="G67" s="234"/>
      <c r="H67" s="234"/>
      <c r="I67" s="234"/>
      <c r="J67" s="234"/>
      <c r="K67" s="234"/>
      <c r="L67" s="234"/>
      <c r="M67" s="234"/>
      <c r="N67" s="234"/>
      <c r="O67" s="234"/>
      <c r="P67" s="234"/>
      <c r="Q67" s="234"/>
      <c r="R67" s="234"/>
      <c r="S67" s="234">
        <f>'FD allowances'!D23+'FD allowances'!D47+'FD forecasts'!D7+'FD forecasts'!D8</f>
        <v>4899.2880820571754</v>
      </c>
      <c r="T67" s="234">
        <f>'FD allowances'!E23+'FD allowances'!E47+'FD forecasts'!E7+'FD forecasts'!E8</f>
        <v>4905.0742525586629</v>
      </c>
      <c r="U67" s="234">
        <f>'FD allowances'!F23+'FD allowances'!F47+'FD forecasts'!F7+'FD forecasts'!F8</f>
        <v>2668.1268793971562</v>
      </c>
      <c r="V67" s="234">
        <f>'FD allowances'!G23+'FD allowances'!G47+'FD forecasts'!G7+'FD forecasts'!G8</f>
        <v>2401.6188785135851</v>
      </c>
      <c r="W67" s="234">
        <f>'FD allowances'!H23+'FD allowances'!H47+'FD forecasts'!H7+'FD forecasts'!H8</f>
        <v>2231.9843349734192</v>
      </c>
    </row>
    <row r="70" spans="1:24">
      <c r="A70" s="65" t="s">
        <v>225</v>
      </c>
      <c r="B70" s="390"/>
      <c r="C70" s="391" t="s">
        <v>11</v>
      </c>
      <c r="D70" s="401" t="s">
        <v>331</v>
      </c>
      <c r="E70" s="395" t="s">
        <v>217</v>
      </c>
      <c r="F70" s="395" t="s">
        <v>217</v>
      </c>
      <c r="G70" s="395" t="s">
        <v>217</v>
      </c>
      <c r="H70" s="395" t="s">
        <v>217</v>
      </c>
      <c r="I70" s="395" t="s">
        <v>217</v>
      </c>
      <c r="J70" s="395" t="s">
        <v>217</v>
      </c>
      <c r="K70" s="395" t="s">
        <v>217</v>
      </c>
      <c r="L70" s="395" t="s">
        <v>217</v>
      </c>
      <c r="M70" s="395" t="s">
        <v>217</v>
      </c>
      <c r="N70" s="395" t="s">
        <v>217</v>
      </c>
      <c r="O70" s="395" t="s">
        <v>217</v>
      </c>
      <c r="P70" s="395" t="s">
        <v>217</v>
      </c>
      <c r="Q70" s="395" t="s">
        <v>217</v>
      </c>
      <c r="R70" s="395" t="s">
        <v>217</v>
      </c>
      <c r="S70" s="395" t="s">
        <v>217</v>
      </c>
      <c r="T70" s="395" t="s">
        <v>53</v>
      </c>
      <c r="U70" s="395" t="s">
        <v>53</v>
      </c>
      <c r="V70" s="395" t="s">
        <v>53</v>
      </c>
      <c r="W70" s="395" t="s">
        <v>53</v>
      </c>
      <c r="X70" s="395" t="s">
        <v>53</v>
      </c>
    </row>
    <row r="71" spans="1:24">
      <c r="B71" s="390"/>
      <c r="C71" s="391" t="s">
        <v>281</v>
      </c>
      <c r="D71" s="397">
        <v>39386</v>
      </c>
      <c r="E71" s="397">
        <v>39538</v>
      </c>
      <c r="F71" s="397">
        <v>39721</v>
      </c>
      <c r="G71" s="397">
        <v>40086</v>
      </c>
      <c r="H71" s="397">
        <v>40268</v>
      </c>
      <c r="I71" s="397">
        <v>40451</v>
      </c>
      <c r="J71" s="397">
        <v>40816</v>
      </c>
      <c r="K71" s="397">
        <v>41182</v>
      </c>
      <c r="L71" s="397">
        <v>41547</v>
      </c>
      <c r="M71" s="397">
        <v>41912</v>
      </c>
      <c r="N71" s="397">
        <v>42277</v>
      </c>
      <c r="O71" s="397">
        <v>42643</v>
      </c>
      <c r="P71" s="397">
        <v>43008</v>
      </c>
      <c r="Q71" s="397">
        <v>43373</v>
      </c>
      <c r="R71" s="397">
        <v>43738</v>
      </c>
      <c r="S71" s="397">
        <v>44104</v>
      </c>
      <c r="T71" s="397">
        <v>44469</v>
      </c>
      <c r="U71" s="397">
        <v>44834</v>
      </c>
      <c r="V71" s="397">
        <v>45199</v>
      </c>
      <c r="W71" s="397">
        <v>45565</v>
      </c>
      <c r="X71" s="397">
        <v>45930</v>
      </c>
    </row>
    <row r="72" spans="1:24">
      <c r="B72" s="390"/>
      <c r="C72" s="391" t="s">
        <v>80</v>
      </c>
      <c r="D72" s="401" t="s">
        <v>331</v>
      </c>
      <c r="E72" s="402">
        <f t="shared" ref="E72:X72" si="5">MAX(0,(YEAR(E71)-YEAR(D71))*12+(MONTH(E71)-MONTH(D71)))</f>
        <v>5</v>
      </c>
      <c r="F72" s="402">
        <f t="shared" si="5"/>
        <v>6</v>
      </c>
      <c r="G72" s="402">
        <f t="shared" si="5"/>
        <v>12</v>
      </c>
      <c r="H72" s="402">
        <f t="shared" si="5"/>
        <v>6</v>
      </c>
      <c r="I72" s="402">
        <f t="shared" si="5"/>
        <v>6</v>
      </c>
      <c r="J72" s="402">
        <f t="shared" si="5"/>
        <v>12</v>
      </c>
      <c r="K72" s="402">
        <f t="shared" si="5"/>
        <v>12</v>
      </c>
      <c r="L72" s="402">
        <f t="shared" si="5"/>
        <v>12</v>
      </c>
      <c r="M72" s="402">
        <f t="shared" si="5"/>
        <v>12</v>
      </c>
      <c r="N72" s="402">
        <f t="shared" si="5"/>
        <v>12</v>
      </c>
      <c r="O72" s="402">
        <f t="shared" si="5"/>
        <v>12</v>
      </c>
      <c r="P72" s="402">
        <f t="shared" si="5"/>
        <v>12</v>
      </c>
      <c r="Q72" s="402">
        <f t="shared" si="5"/>
        <v>12</v>
      </c>
      <c r="R72" s="402">
        <f t="shared" si="5"/>
        <v>12</v>
      </c>
      <c r="S72" s="402">
        <f t="shared" si="5"/>
        <v>12</v>
      </c>
      <c r="T72" s="402">
        <f t="shared" si="5"/>
        <v>12</v>
      </c>
      <c r="U72" s="402">
        <f t="shared" si="5"/>
        <v>12</v>
      </c>
      <c r="V72" s="402">
        <f t="shared" si="5"/>
        <v>12</v>
      </c>
      <c r="W72" s="402">
        <f t="shared" si="5"/>
        <v>12</v>
      </c>
      <c r="X72" s="402">
        <f t="shared" si="5"/>
        <v>12</v>
      </c>
    </row>
    <row r="73" spans="1:24">
      <c r="A73" s="65"/>
      <c r="B73" s="390"/>
      <c r="C73" s="390"/>
      <c r="D73" s="399"/>
      <c r="E73" s="403"/>
      <c r="F73" s="403"/>
      <c r="G73" s="403"/>
      <c r="H73" s="403"/>
      <c r="I73" s="403"/>
      <c r="J73" s="403"/>
      <c r="K73" s="403"/>
      <c r="L73" s="403"/>
      <c r="M73" s="403"/>
      <c r="N73" s="403"/>
      <c r="O73" s="403"/>
      <c r="P73" s="403"/>
      <c r="Q73" s="403"/>
      <c r="R73" s="403"/>
      <c r="S73" s="403"/>
      <c r="T73" s="403"/>
      <c r="U73" s="403"/>
      <c r="V73" s="403"/>
      <c r="W73" s="403"/>
      <c r="X73" s="403"/>
    </row>
    <row r="74" spans="1:24">
      <c r="A74" s="65" t="s">
        <v>226</v>
      </c>
      <c r="B74" s="389" t="s">
        <v>10</v>
      </c>
      <c r="C74" s="389"/>
      <c r="D74" s="390"/>
      <c r="E74" s="390"/>
      <c r="F74" s="390"/>
      <c r="G74" s="390"/>
      <c r="H74" s="390"/>
      <c r="I74" s="390"/>
      <c r="J74" s="390"/>
      <c r="K74" s="390"/>
      <c r="L74" s="390"/>
      <c r="M74" s="390"/>
      <c r="N74" s="390"/>
      <c r="O74" s="390"/>
      <c r="P74" s="390"/>
      <c r="Q74" s="390"/>
      <c r="R74" s="390"/>
      <c r="S74" s="390"/>
      <c r="T74" s="390"/>
      <c r="U74" s="390"/>
      <c r="V74" s="390"/>
      <c r="W74" s="390"/>
      <c r="X74" s="390"/>
    </row>
    <row r="75" spans="1:24">
      <c r="A75" s="238" t="s">
        <v>81</v>
      </c>
      <c r="B75" s="63" t="s">
        <v>40</v>
      </c>
      <c r="C75" s="232"/>
      <c r="D75" s="242"/>
      <c r="E75" s="242">
        <f t="shared" ref="E75:N75" si="6">D58</f>
        <v>687.15121839654023</v>
      </c>
      <c r="F75" s="242">
        <f t="shared" si="6"/>
        <v>827.64373752494998</v>
      </c>
      <c r="G75" s="242">
        <f t="shared" si="6"/>
        <v>1656.5634231536922</v>
      </c>
      <c r="H75" s="242">
        <f t="shared" si="6"/>
        <v>828.28171157684608</v>
      </c>
      <c r="I75" s="242">
        <f t="shared" si="6"/>
        <v>1034.5546719061877</v>
      </c>
      <c r="J75" s="242">
        <f t="shared" si="6"/>
        <v>2069.1093438123753</v>
      </c>
      <c r="K75" s="242">
        <f t="shared" si="6"/>
        <v>2069.1093438123753</v>
      </c>
      <c r="L75" s="242">
        <f t="shared" si="6"/>
        <v>2069.1093438123753</v>
      </c>
      <c r="M75" s="242">
        <f t="shared" si="6"/>
        <v>2069.1093438123753</v>
      </c>
      <c r="N75" s="242">
        <f t="shared" si="6"/>
        <v>2069.1093438123753</v>
      </c>
      <c r="O75" s="242">
        <f>'RAB inputs'!D5-SUM(E75:N75)</f>
        <v>1173.1332688789171</v>
      </c>
      <c r="P75" s="242"/>
      <c r="Q75" s="242"/>
      <c r="R75" s="242"/>
      <c r="S75" s="242"/>
      <c r="T75" s="242"/>
      <c r="U75" s="243"/>
      <c r="V75" s="243"/>
      <c r="W75" s="243"/>
      <c r="X75" s="243"/>
    </row>
    <row r="76" spans="1:24">
      <c r="A76" s="237">
        <v>39538</v>
      </c>
      <c r="B76" s="63" t="s">
        <v>40</v>
      </c>
      <c r="C76" s="232"/>
      <c r="D76" s="243"/>
      <c r="E76" s="242">
        <f t="shared" ref="E76:N76" si="7">$D55/12*E$72/D$22</f>
        <v>88.199301859542004</v>
      </c>
      <c r="F76" s="242">
        <f t="shared" si="7"/>
        <v>105.8391622314504</v>
      </c>
      <c r="G76" s="242">
        <f t="shared" si="7"/>
        <v>211.6783244629008</v>
      </c>
      <c r="H76" s="242">
        <f t="shared" si="7"/>
        <v>105.8391622314504</v>
      </c>
      <c r="I76" s="242">
        <f t="shared" si="7"/>
        <v>132.29895278931301</v>
      </c>
      <c r="J76" s="242">
        <f t="shared" si="7"/>
        <v>264.59790557862601</v>
      </c>
      <c r="K76" s="242">
        <f t="shared" si="7"/>
        <v>264.59790557862601</v>
      </c>
      <c r="L76" s="242">
        <f t="shared" si="7"/>
        <v>264.59790557862601</v>
      </c>
      <c r="M76" s="242">
        <f t="shared" si="7"/>
        <v>264.59790557862601</v>
      </c>
      <c r="N76" s="242">
        <f t="shared" si="7"/>
        <v>264.59790557862601</v>
      </c>
      <c r="O76" s="242">
        <f>$D55-SUM(E76:N76)</f>
        <v>149.93881316122111</v>
      </c>
      <c r="P76" s="242"/>
      <c r="Q76" s="242"/>
      <c r="R76" s="242"/>
      <c r="S76" s="242"/>
      <c r="T76" s="242"/>
      <c r="U76" s="243"/>
      <c r="V76" s="243"/>
      <c r="W76" s="243"/>
      <c r="X76" s="243"/>
    </row>
    <row r="77" spans="1:24">
      <c r="A77" s="237">
        <v>39721</v>
      </c>
      <c r="B77" s="63" t="s">
        <v>40</v>
      </c>
      <c r="C77" s="232"/>
      <c r="D77" s="243"/>
      <c r="E77" s="242"/>
      <c r="F77" s="242">
        <f t="shared" ref="F77:N77" si="8">$E55/12*F$72/E$22</f>
        <v>63.134007108545028</v>
      </c>
      <c r="G77" s="242">
        <f t="shared" si="8"/>
        <v>126.26801421709006</v>
      </c>
      <c r="H77" s="242">
        <f t="shared" si="8"/>
        <v>63.134007108545028</v>
      </c>
      <c r="I77" s="242">
        <f t="shared" si="8"/>
        <v>78.917508885681286</v>
      </c>
      <c r="J77" s="242">
        <f t="shared" si="8"/>
        <v>157.83501777136257</v>
      </c>
      <c r="K77" s="242">
        <f t="shared" si="8"/>
        <v>157.83501777136257</v>
      </c>
      <c r="L77" s="242">
        <f t="shared" si="8"/>
        <v>157.83501777136257</v>
      </c>
      <c r="M77" s="242">
        <f t="shared" si="8"/>
        <v>157.83501777136257</v>
      </c>
      <c r="N77" s="242">
        <f t="shared" si="8"/>
        <v>157.83501777136257</v>
      </c>
      <c r="O77" s="242">
        <f>$E55-SUM(E77:N77)</f>
        <v>142.05151599422629</v>
      </c>
      <c r="P77" s="242"/>
      <c r="Q77" s="242"/>
      <c r="R77" s="242"/>
      <c r="S77" s="242"/>
      <c r="T77" s="242"/>
      <c r="U77" s="243"/>
      <c r="V77" s="243"/>
      <c r="W77" s="243"/>
      <c r="X77" s="243"/>
    </row>
    <row r="78" spans="1:24">
      <c r="A78" s="237">
        <v>40086</v>
      </c>
      <c r="B78" s="63" t="s">
        <v>40</v>
      </c>
      <c r="C78" s="232"/>
      <c r="D78" s="243"/>
      <c r="E78" s="242"/>
      <c r="F78" s="242"/>
      <c r="G78" s="242">
        <f t="shared" ref="G78:N78" si="9">$F55/12*G$72/F$22</f>
        <v>234.61860374137109</v>
      </c>
      <c r="H78" s="242">
        <f t="shared" si="9"/>
        <v>117.30930187068554</v>
      </c>
      <c r="I78" s="242">
        <f t="shared" si="9"/>
        <v>146.63662733835693</v>
      </c>
      <c r="J78" s="242">
        <f t="shared" si="9"/>
        <v>293.27325467671386</v>
      </c>
      <c r="K78" s="242">
        <f t="shared" si="9"/>
        <v>293.27325467671386</v>
      </c>
      <c r="L78" s="242">
        <f t="shared" si="9"/>
        <v>293.27325467671386</v>
      </c>
      <c r="M78" s="242">
        <f t="shared" si="9"/>
        <v>293.27325467671386</v>
      </c>
      <c r="N78" s="242">
        <f t="shared" si="9"/>
        <v>293.27325467671386</v>
      </c>
      <c r="O78" s="242">
        <f>$F55-SUM(E78:N78)</f>
        <v>381.25523107972822</v>
      </c>
      <c r="P78" s="242"/>
      <c r="Q78" s="242"/>
      <c r="R78" s="242"/>
      <c r="S78" s="242"/>
      <c r="T78" s="242"/>
      <c r="U78" s="242"/>
      <c r="V78" s="242"/>
      <c r="W78" s="242"/>
      <c r="X78" s="242"/>
    </row>
    <row r="79" spans="1:24">
      <c r="A79" s="237" t="s">
        <v>82</v>
      </c>
      <c r="B79" s="63" t="s">
        <v>40</v>
      </c>
      <c r="C79" s="232"/>
      <c r="D79" s="244"/>
      <c r="E79" s="242"/>
      <c r="F79" s="242"/>
      <c r="G79" s="242">
        <f>F59</f>
        <v>71.046407396004938</v>
      </c>
      <c r="H79" s="242">
        <f>G59</f>
        <v>65.423293489312812</v>
      </c>
      <c r="I79" s="242">
        <f t="shared" ref="I79:O79" si="10">$F56/12*I$72/H$22</f>
        <v>81.779116861641029</v>
      </c>
      <c r="J79" s="242">
        <f t="shared" si="10"/>
        <v>163.55823372328206</v>
      </c>
      <c r="K79" s="242">
        <f t="shared" si="10"/>
        <v>163.55823372328206</v>
      </c>
      <c r="L79" s="242">
        <f t="shared" si="10"/>
        <v>163.55823372328206</v>
      </c>
      <c r="M79" s="242">
        <f t="shared" si="10"/>
        <v>163.55823372328206</v>
      </c>
      <c r="N79" s="242">
        <f t="shared" si="10"/>
        <v>163.55823372328206</v>
      </c>
      <c r="O79" s="242">
        <f t="shared" si="10"/>
        <v>261.6931739572513</v>
      </c>
      <c r="P79" s="242">
        <f>$F56-SUM(F79:O79)</f>
        <v>10.73270946563639</v>
      </c>
      <c r="Q79" s="242"/>
      <c r="R79" s="242"/>
      <c r="S79" s="242"/>
      <c r="T79" s="242"/>
      <c r="U79" s="242"/>
      <c r="V79" s="242"/>
      <c r="W79" s="242"/>
      <c r="X79" s="242"/>
    </row>
    <row r="80" spans="1:24">
      <c r="A80" s="237">
        <v>40268</v>
      </c>
      <c r="B80" s="63" t="s">
        <v>40</v>
      </c>
      <c r="C80" s="232"/>
      <c r="D80" s="243"/>
      <c r="E80" s="242"/>
      <c r="F80" s="242"/>
      <c r="G80" s="242"/>
      <c r="H80" s="242">
        <f t="shared" ref="H80:O80" si="11">$G55/12*H$72/G$22</f>
        <v>73.315049144529596</v>
      </c>
      <c r="I80" s="242">
        <f t="shared" si="11"/>
        <v>91.643811430661998</v>
      </c>
      <c r="J80" s="242">
        <f t="shared" si="11"/>
        <v>183.287622861324</v>
      </c>
      <c r="K80" s="242">
        <f t="shared" si="11"/>
        <v>183.287622861324</v>
      </c>
      <c r="L80" s="242">
        <f t="shared" si="11"/>
        <v>183.287622861324</v>
      </c>
      <c r="M80" s="242">
        <f t="shared" si="11"/>
        <v>183.287622861324</v>
      </c>
      <c r="N80" s="242">
        <f t="shared" si="11"/>
        <v>183.287622861324</v>
      </c>
      <c r="O80" s="242">
        <f t="shared" si="11"/>
        <v>293.26019657811838</v>
      </c>
      <c r="P80" s="242">
        <f>$G55-SUM(F80:O80)</f>
        <v>91.643811430661799</v>
      </c>
      <c r="Q80" s="242"/>
      <c r="R80" s="242"/>
      <c r="S80" s="242"/>
      <c r="T80" s="242"/>
      <c r="U80" s="242"/>
      <c r="V80" s="242"/>
      <c r="W80" s="242"/>
      <c r="X80" s="242"/>
    </row>
    <row r="81" spans="1:24">
      <c r="A81" s="237" t="s">
        <v>83</v>
      </c>
      <c r="B81" s="63" t="s">
        <v>40</v>
      </c>
      <c r="C81" s="232"/>
      <c r="D81" s="244"/>
      <c r="E81" s="242"/>
      <c r="F81" s="242"/>
      <c r="G81" s="242"/>
      <c r="H81" s="242">
        <f>G60</f>
        <v>12.377105725354388</v>
      </c>
      <c r="I81" s="242">
        <f t="shared" ref="I81:O81" si="12">$G56/12*I$72/H$22</f>
        <v>98.054527614252095</v>
      </c>
      <c r="J81" s="242">
        <f t="shared" si="12"/>
        <v>196.10905522850419</v>
      </c>
      <c r="K81" s="242">
        <f t="shared" si="12"/>
        <v>196.10905522850419</v>
      </c>
      <c r="L81" s="242">
        <f t="shared" si="12"/>
        <v>196.10905522850419</v>
      </c>
      <c r="M81" s="242">
        <f t="shared" si="12"/>
        <v>196.10905522850419</v>
      </c>
      <c r="N81" s="242">
        <f t="shared" si="12"/>
        <v>196.10905522850419</v>
      </c>
      <c r="O81" s="242">
        <f t="shared" si="12"/>
        <v>313.77448836560671</v>
      </c>
      <c r="P81" s="242">
        <f>$G56-SUM(F81:O81)</f>
        <v>164.12104398029965</v>
      </c>
      <c r="Q81" s="242"/>
      <c r="R81" s="242"/>
      <c r="S81" s="242"/>
      <c r="T81" s="242"/>
      <c r="U81" s="242"/>
      <c r="V81" s="242"/>
      <c r="W81" s="242"/>
      <c r="X81" s="242"/>
    </row>
    <row r="82" spans="1:24">
      <c r="A82" s="237">
        <v>40451</v>
      </c>
      <c r="B82" s="63" t="s">
        <v>40</v>
      </c>
      <c r="C82" s="232"/>
      <c r="D82" s="243"/>
      <c r="E82" s="242"/>
      <c r="F82" s="242"/>
      <c r="G82" s="242"/>
      <c r="H82" s="242"/>
      <c r="I82" s="242">
        <f>$H57/12*I$72/H$22/2</f>
        <v>32.744347508976659</v>
      </c>
      <c r="J82" s="242">
        <f>$H57/12*J$72/I$22</f>
        <v>130.97739003590664</v>
      </c>
      <c r="K82" s="242">
        <f>$H57/12*K$72/J$22</f>
        <v>130.97739003590664</v>
      </c>
      <c r="L82" s="242">
        <f>$H57/12*L$72/K$22</f>
        <v>130.97739003590664</v>
      </c>
      <c r="M82" s="242">
        <f>$H57/12*M$72/L$22</f>
        <v>130.97739003590664</v>
      </c>
      <c r="N82" s="242">
        <f>$H57/12*N$72/M$22</f>
        <v>130.97739003590664</v>
      </c>
      <c r="O82" s="242">
        <f>IF($H57-SUM($G82:N82)&lt;=0,0,IF($H57-SUM($G82:N82)&lt;$H57/12*O$72/N$22,$H57-SUM($G82:N82),$H57/12*O$72/N$22))</f>
        <v>209.56382405745063</v>
      </c>
      <c r="P82" s="242">
        <f>IF($H57-SUM($G82:O82)&lt;=0,0,IF($H57-SUM($G82:O82)&lt;$H57/12*P$72/O$22,$H57-SUM($G82:O82),$H57/12*P$72/O$22))</f>
        <v>150.62399854129262</v>
      </c>
      <c r="Q82" s="242">
        <f>IF($H57-SUM($G82:P82)&lt;=0,0,IF($H57-SUM($G82:P82)&lt;$H57/12*Q$72/P$22,$H57-SUM($G82:P82),$H57/12*Q$72/P$22))</f>
        <v>0</v>
      </c>
      <c r="R82" s="242">
        <f>IF($H57-SUM($G82:Q82)&lt;=0,0,IF($H57-SUM($G82:Q82)&lt;$H57/12*R$72/Q$22,$H57-SUM($G82:Q82),$H57/12*R$72/Q$22))</f>
        <v>0</v>
      </c>
      <c r="S82" s="242">
        <f>IF($H57-SUM($G82:R82)&lt;=0,0,IF($H57-SUM($G82:R82)&lt;$H57/12*S$72/R$22,$H57-SUM($G82:R82),$H57/12*S$72/R$22))</f>
        <v>0</v>
      </c>
      <c r="T82" s="242"/>
      <c r="U82" s="242"/>
      <c r="V82" s="242"/>
      <c r="W82" s="242"/>
      <c r="X82" s="242"/>
    </row>
    <row r="83" spans="1:24">
      <c r="A83" s="237">
        <v>40816</v>
      </c>
      <c r="B83" s="63" t="s">
        <v>40</v>
      </c>
      <c r="C83" s="232"/>
      <c r="D83" s="243"/>
      <c r="E83" s="242"/>
      <c r="F83" s="242"/>
      <c r="G83" s="242"/>
      <c r="H83" s="242"/>
      <c r="I83" s="242"/>
      <c r="J83" s="242">
        <f>$I57/12*J$72/I$22/2</f>
        <v>63.336821140035894</v>
      </c>
      <c r="K83" s="242">
        <f>$I57/12*K$72/J$22</f>
        <v>126.67364228007179</v>
      </c>
      <c r="L83" s="242">
        <f>$I57/12*L$72/K$22</f>
        <v>126.67364228007179</v>
      </c>
      <c r="M83" s="242">
        <f>$I57/12*M$72/L$22</f>
        <v>126.67364228007179</v>
      </c>
      <c r="N83" s="242">
        <f>$I57/12*N$72/M$22</f>
        <v>126.67364228007179</v>
      </c>
      <c r="O83" s="242">
        <f>IF($I57-SUM($G83:N83)&lt;=0,0,IF($I57-SUM($G83:N83)&lt;$I57/12*O$72/N$22,$I57-SUM($G83:N83),$I57/12*O$72/N$22))</f>
        <v>202.67782764811486</v>
      </c>
      <c r="P83" s="242">
        <f>IF($I57-SUM($G83:O83)&lt;=0,0,IF($I57-SUM($G83:O83)&lt;$I57/12*P$72/O$22,$I57-SUM($G83:O83),$I57/12*P$72/O$22))</f>
        <v>202.67782764811486</v>
      </c>
      <c r="Q83" s="242">
        <f>IF($I57-SUM($G83:P83)&lt;=0,0,IF($I57-SUM($G83:P83)&lt;$I57/12*Q$72/P$22,$I57-SUM($G83:P83),$I57/12*Q$72/P$22))</f>
        <v>38.002092684021591</v>
      </c>
      <c r="R83" s="242">
        <f>IF($I57-SUM($G83:Q83)&lt;=0,0,IF($I57-SUM($G83:Q83)&lt;$I57/12*R$72/Q$22,$I57-SUM($G83:Q83),$I57/12*R$72/Q$22))</f>
        <v>0</v>
      </c>
      <c r="S83" s="242">
        <f>IF($I57-SUM($G83:R83)&lt;=0,0,IF($I57-SUM($G83:R83)&lt;$I57/12*S$72/R$22,$I57-SUM($G83:R83),$I57/12*S$72/R$22))</f>
        <v>0</v>
      </c>
      <c r="T83" s="242"/>
      <c r="U83" s="242"/>
      <c r="V83" s="242"/>
      <c r="W83" s="242"/>
      <c r="X83" s="242"/>
    </row>
    <row r="84" spans="1:24">
      <c r="A84" s="237">
        <v>41182</v>
      </c>
      <c r="B84" s="63" t="s">
        <v>40</v>
      </c>
      <c r="C84" s="232"/>
      <c r="D84" s="243"/>
      <c r="E84" s="242"/>
      <c r="F84" s="242"/>
      <c r="G84" s="242"/>
      <c r="H84" s="242"/>
      <c r="I84" s="242"/>
      <c r="J84" s="242"/>
      <c r="K84" s="242">
        <f>$J57/12*K$72/J$22/2</f>
        <v>85.35766382405744</v>
      </c>
      <c r="L84" s="242">
        <f>$J57/12*L$72/K$22</f>
        <v>170.71532764811488</v>
      </c>
      <c r="M84" s="242">
        <f>$J57/12*M$72/L$22</f>
        <v>170.71532764811488</v>
      </c>
      <c r="N84" s="242">
        <f>$J57/12*N$72/M$22</f>
        <v>170.71532764811488</v>
      </c>
      <c r="O84" s="242">
        <f>IF($J57-SUM($G84:N84)&lt;=0,0,IF($J57-SUM($G84:N84)&lt;$J57/12*O$72/N$22,$J57-SUM($G84:N84),$J57/12*O$72/N$22))</f>
        <v>273.14452423698378</v>
      </c>
      <c r="P84" s="242">
        <f>IF($J57-SUM($G84:O84)&lt;=0,0,IF($J57-SUM($G84:O84)&lt;$J57/12*P$72/O$22,$J57-SUM($G84:O84),$J57/12*P$72/O$22))</f>
        <v>273.14452423698378</v>
      </c>
      <c r="Q84" s="242">
        <f>IF($J57-SUM($G84:P84)&lt;=0,0,IF($J57-SUM($G84:P84)&lt;$J57/12*Q$72/P$22,$J57-SUM($G84:P84),$J57/12*Q$72/P$22))</f>
        <v>221.92992594254952</v>
      </c>
      <c r="R84" s="242">
        <f>IF($J57-SUM($G84:Q84)&lt;=0,0,IF($J57-SUM($G84:Q84)&lt;$J57/12*R$72/Q$22,$J57-SUM($G84:Q84),$J57/12*R$72/Q$22))</f>
        <v>0</v>
      </c>
      <c r="S84" s="242">
        <f>IF($J57-SUM($G84:R84)&lt;=0,0,IF($J57-SUM($G84:R84)&lt;$J57/12*S$72/R$22,$J57-SUM($G84:R84),$J57/12*S$72/R$22))</f>
        <v>0</v>
      </c>
      <c r="T84" s="242"/>
      <c r="U84" s="242"/>
      <c r="V84" s="242"/>
      <c r="W84" s="242"/>
      <c r="X84" s="242"/>
    </row>
    <row r="85" spans="1:24">
      <c r="A85" s="237">
        <v>41547</v>
      </c>
      <c r="B85" s="63" t="s">
        <v>40</v>
      </c>
      <c r="C85" s="232"/>
      <c r="D85" s="243"/>
      <c r="E85" s="242"/>
      <c r="F85" s="242"/>
      <c r="G85" s="242"/>
      <c r="H85" s="242"/>
      <c r="I85" s="242"/>
      <c r="J85" s="242"/>
      <c r="K85" s="242"/>
      <c r="L85" s="242">
        <f>$K57/12*L$72/K$22/2</f>
        <v>17.573636669658885</v>
      </c>
      <c r="M85" s="242">
        <f>$K57/12*M$72/L$22</f>
        <v>35.147273339317771</v>
      </c>
      <c r="N85" s="242">
        <f>$K57/12*N$72/M$22</f>
        <v>35.147273339317771</v>
      </c>
      <c r="O85" s="242">
        <f>IF($K57-SUM($G85:N85)&lt;=0,0,IF($K57-SUM($G85:N85)&lt;$K57/12*O$72/N$22,$K57-SUM($G85:N85),$K57/12*O$72/N$22))</f>
        <v>56.235637342908433</v>
      </c>
      <c r="P85" s="242">
        <f>IF($K57-SUM($G85:O85)&lt;=0,0,IF($K57-SUM($G85:O85)&lt;$K57/12*P$72/O$22,$K57-SUM($G85:O85),$K57/12*P$72/O$22))</f>
        <v>56.235637342908433</v>
      </c>
      <c r="Q85" s="242">
        <f>IF($K57-SUM($G85:P85)&lt;=0,0,IF($K57-SUM($G85:P85)&lt;$K57/12*Q$72/P$22,$K57-SUM($G85:P85),$K57/12*Q$72/P$22))</f>
        <v>56.235637342908433</v>
      </c>
      <c r="R85" s="242">
        <f>IF($K57-SUM($G85:Q85)&lt;=0,0,IF($K57-SUM($G85:Q85)&lt;$K57/12*R$72/Q$22,$K57-SUM($G85:Q85),$K57/12*R$72/Q$22))</f>
        <v>24.603091337522471</v>
      </c>
      <c r="S85" s="242">
        <f>IF($K57-SUM($G85:R85)&lt;=0,0,IF($K57-SUM($G85:R85)&lt;$K57/12*S$72/R$22,$K57-SUM($G85:R85),$K57/12*S$72/R$22))</f>
        <v>0</v>
      </c>
      <c r="T85" s="242"/>
      <c r="U85" s="242"/>
      <c r="V85" s="242"/>
      <c r="W85" s="242"/>
      <c r="X85" s="242"/>
    </row>
    <row r="86" spans="1:24">
      <c r="A86" s="237">
        <v>41912</v>
      </c>
      <c r="B86" s="63" t="s">
        <v>40</v>
      </c>
      <c r="C86" s="232"/>
      <c r="D86" s="243"/>
      <c r="E86" s="242"/>
      <c r="F86" s="242"/>
      <c r="G86" s="242"/>
      <c r="H86" s="242"/>
      <c r="I86" s="242"/>
      <c r="J86" s="242"/>
      <c r="K86" s="242"/>
      <c r="L86" s="242"/>
      <c r="M86" s="242">
        <f>$L57/12*M$72/L$22/2</f>
        <v>99.344844030520619</v>
      </c>
      <c r="N86" s="242">
        <f>$L57/12*N$72/M$22</f>
        <v>198.68968806104124</v>
      </c>
      <c r="O86" s="242">
        <f>IF($L57-SUM($G86:N86)&lt;=0,0,IF($L57-SUM($G86:N86)&lt;$L57/12*O$72/N$22,$L57-SUM($G86:N86),$L57/12*O$72/N$22))</f>
        <v>317.90350089766599</v>
      </c>
      <c r="P86" s="242">
        <f>IF($L57-SUM($G86:O86)&lt;=0,0,IF($L57-SUM($G86:O86)&lt;$L57/12*P$72/O$22,$L57-SUM($G86:O86),$L57/12*P$72/O$22))</f>
        <v>317.90350089766599</v>
      </c>
      <c r="Q86" s="242">
        <f>IF($L57-SUM($G86:P86)&lt;=0,0,IF($L57-SUM($G86:P86)&lt;$L57/12*Q$72/P$22,$L57-SUM($G86:P86),$L57/12*Q$72/P$22))</f>
        <v>317.90350089766599</v>
      </c>
      <c r="R86" s="242">
        <f>IF($L57-SUM($G86:Q86)&lt;=0,0,IF($L57-SUM($G86:Q86)&lt;$L57/12*R$72/Q$22,$L57-SUM($G86:Q86),$L57/12*R$72/Q$22))</f>
        <v>317.90350089766599</v>
      </c>
      <c r="S86" s="242">
        <f>IF($L57-SUM($G86:R86)&lt;=0,0,IF($L57-SUM($G86:R86)&lt;$L57/12*S$72/R$22,$L57-SUM($G86:R86),$L57/12*S$72/R$22))</f>
        <v>19.868968806104476</v>
      </c>
      <c r="T86" s="242"/>
      <c r="U86" s="242"/>
      <c r="V86" s="242"/>
      <c r="W86" s="242"/>
      <c r="X86" s="242"/>
    </row>
    <row r="87" spans="1:24">
      <c r="A87" s="237">
        <v>42277</v>
      </c>
      <c r="B87" s="63" t="s">
        <v>40</v>
      </c>
      <c r="C87" s="232"/>
      <c r="D87" s="243"/>
      <c r="E87" s="242"/>
      <c r="F87" s="242"/>
      <c r="G87" s="242"/>
      <c r="H87" s="242"/>
      <c r="I87" s="242"/>
      <c r="J87" s="242"/>
      <c r="K87" s="242"/>
      <c r="L87" s="242"/>
      <c r="M87" s="242"/>
      <c r="N87" s="242">
        <f>$M57/12*N$72/M$22/2</f>
        <v>26.181132181328543</v>
      </c>
      <c r="O87" s="242">
        <f>IF($M57-SUM($G87:N87)&lt;=0,0,IF($M57-SUM($G87:N87)&lt;$M57/12*O$72/N$22,$M57-SUM($G87:N87),$M57/12*O$72/N$22))</f>
        <v>83.779622980251332</v>
      </c>
      <c r="P87" s="242">
        <f>IF($M57-SUM($G87:O87)&lt;=0,0,IF($M57-SUM($G87:O87)&lt;$M57/12*P$72/O$22,$M57-SUM($G87:O87),$M57/12*P$72/O$22))</f>
        <v>83.779622980251332</v>
      </c>
      <c r="Q87" s="242">
        <f>IF($M57-SUM($G87:P87)&lt;=0,0,IF($M57-SUM($G87:P87)&lt;$M57/12*Q$72/P$22,$M57-SUM($G87:P87),$M57/12*Q$72/P$22))</f>
        <v>83.779622980251332</v>
      </c>
      <c r="R87" s="242">
        <f>IF($M57-SUM($G87:Q87)&lt;=0,0,IF($M57-SUM($G87:Q87)&lt;$M57/12*R$72/Q$22,$M57-SUM($G87:Q87),$M57/12*R$72/Q$22))</f>
        <v>83.779622980251332</v>
      </c>
      <c r="S87" s="242">
        <f>IF($M57-SUM($G87:R87)&lt;=0,0,IF($M57-SUM($G87:R87)&lt;$M57/12*S$72/R$22,$M57-SUM($G87:R87),$M57/12*S$72/R$22))</f>
        <v>57.598490798922853</v>
      </c>
      <c r="T87" s="242"/>
      <c r="U87" s="242"/>
      <c r="V87" s="242"/>
      <c r="W87" s="242"/>
      <c r="X87" s="242"/>
    </row>
    <row r="88" spans="1:24">
      <c r="A88" s="237">
        <v>42643</v>
      </c>
      <c r="B88" s="63" t="s">
        <v>40</v>
      </c>
      <c r="C88" s="232"/>
      <c r="D88" s="242"/>
      <c r="E88" s="242"/>
      <c r="F88" s="242"/>
      <c r="G88" s="242"/>
      <c r="H88" s="242"/>
      <c r="I88" s="242"/>
      <c r="J88" s="242"/>
      <c r="K88" s="242"/>
      <c r="L88" s="242"/>
      <c r="M88" s="242"/>
      <c r="N88" s="242"/>
      <c r="O88" s="242">
        <f>0.5*IF($N63-SUM($N88:N88)&lt;=0,0,IF($N63-SUM($N88:N88)&lt;$N63/12*O$72/N$22,$N63-SUM($N88:N88),$N63/12*O$72/N$22))</f>
        <v>116.15558530986993</v>
      </c>
      <c r="P88" s="242">
        <f>IF($N63-SUM($N88:O88)&lt;=0,0,IF($N63-SUM($N88:O88)&lt;$N63/12*P$72/O$22,$N63-SUM($N88:O88),$N63/12*P$72/O$22))</f>
        <v>232.31117061973987</v>
      </c>
      <c r="Q88" s="242">
        <f>IF($N63-SUM($N88:P88)&lt;=0,0,IF($N63-SUM($N88:P88)&lt;$N63/12*Q$72/P$22,$N63-SUM($N88:P88),$N63/12*Q$72/P$22))</f>
        <v>232.31117061973987</v>
      </c>
      <c r="R88" s="242">
        <f>IF($N63-SUM($N88:Q88)&lt;=0,0,IF($N63-SUM($N88:Q88)&lt;$N63/12*R$72/Q$22,$N63-SUM($N88:Q88),$N63/12*R$72/Q$22))</f>
        <v>232.31117061973987</v>
      </c>
      <c r="S88" s="242">
        <f>IF($N63-SUM($N88:R88)&lt;=0,0,IF($N63-SUM($N88:R88)&lt;$N63/12*S$72/R$22,$N63-SUM($N88:R88),$N63/12*S$72/R$22))</f>
        <v>232.31117061973987</v>
      </c>
      <c r="T88" s="242">
        <f>(N$63-SUM(O$88:S$88))*K18</f>
        <v>131.69404503851686</v>
      </c>
      <c r="U88" s="242"/>
      <c r="V88" s="242"/>
      <c r="W88" s="242"/>
      <c r="X88" s="242"/>
    </row>
    <row r="89" spans="1:24">
      <c r="A89" s="237">
        <v>43008</v>
      </c>
      <c r="B89" s="63" t="s">
        <v>40</v>
      </c>
      <c r="C89" s="232"/>
      <c r="D89" s="242"/>
      <c r="E89" s="242"/>
      <c r="F89" s="242"/>
      <c r="G89" s="242"/>
      <c r="H89" s="242"/>
      <c r="I89" s="242"/>
      <c r="J89" s="242"/>
      <c r="K89" s="242"/>
      <c r="L89" s="242"/>
      <c r="M89" s="242"/>
      <c r="N89" s="242"/>
      <c r="O89" s="242"/>
      <c r="P89" s="242">
        <f>0.5*IF($O63-SUM($N89:O89)&lt;=0,0,IF($O63-SUM($N89:O89)&lt;$O63/12*P$72/O$22,$O63-SUM($N89:O89),$O63/12*P$72/O$22))</f>
        <v>101.159859571323</v>
      </c>
      <c r="Q89" s="242">
        <f>IF($O63-SUM($N89:P89)&lt;=0,0,IF($O63-SUM($N89:P89)&lt;$O63/12*Q$72/P$22,$O63-SUM($N89:P89),$O63/12*Q$72/P$22))</f>
        <v>202.31971914264599</v>
      </c>
      <c r="R89" s="242">
        <f>IF($O63-SUM($N89:Q89)&lt;=0,0,IF($O63-SUM($N89:Q89)&lt;$O63/12*R$72/Q$22,$O63-SUM($N89:Q89),$O63/12*R$72/Q$22))</f>
        <v>202.31971914264599</v>
      </c>
      <c r="S89" s="242">
        <f>IF($O63-SUM($N89:R89)&lt;=0,0,IF($O63-SUM($N89:R89)&lt;$O63/12*S$72/R$22,$O63-SUM($N89:R89),$O63/12*S$72/R$22))</f>
        <v>202.31971914264599</v>
      </c>
      <c r="T89" s="242">
        <f>(($O$63-SUM($P$89:S$89))*$K$18)/1.5</f>
        <v>229.38459768311861</v>
      </c>
      <c r="U89" s="242">
        <f>T89*0.5</f>
        <v>114.69229884155931</v>
      </c>
      <c r="V89" s="242"/>
      <c r="W89" s="242"/>
      <c r="X89" s="242"/>
    </row>
    <row r="90" spans="1:24">
      <c r="A90" s="237">
        <v>43373</v>
      </c>
      <c r="B90" s="63" t="s">
        <v>40</v>
      </c>
      <c r="C90" s="232"/>
      <c r="D90" s="242"/>
      <c r="E90" s="242"/>
      <c r="F90" s="242"/>
      <c r="G90" s="242"/>
      <c r="H90" s="242"/>
      <c r="I90" s="242"/>
      <c r="J90" s="242"/>
      <c r="K90" s="242"/>
      <c r="L90" s="242"/>
      <c r="M90" s="242"/>
      <c r="N90" s="242"/>
      <c r="O90" s="242"/>
      <c r="P90" s="242"/>
      <c r="Q90" s="242">
        <f>0.5*IF($P63-SUM($N90:P90)&lt;=0,0,IF($P63-SUM($N90:P90)&lt;$P63/12*Q$72/P$22,$P63-SUM($N90:P90),$P63/12*Q$72/P$22))</f>
        <v>71.496585627457989</v>
      </c>
      <c r="R90" s="242">
        <f>IF($P63-SUM($N90:Q90)&lt;=0,0,IF($P63-SUM($N90:Q90)&lt;$P63/12*R$72/Q$22,$P63-SUM($N90:Q90),$P63/12*R$72/Q$22))</f>
        <v>142.99317125491598</v>
      </c>
      <c r="S90" s="242">
        <f>IF($P63-SUM($N90:R90)&lt;=0,0,IF($P63-SUM($N90:R90)&lt;$P63/12*S$72/R$22,$P63-SUM($N90:R90),$P63/12*S$72/R$22))</f>
        <v>142.99317125491598</v>
      </c>
      <c r="T90" s="242">
        <f>(($P$63-SUM($Q$90:S$90))*$K$18)/2.5</f>
        <v>162.1217704272126</v>
      </c>
      <c r="U90" s="242">
        <f>T90</f>
        <v>162.1217704272126</v>
      </c>
      <c r="V90" s="242">
        <f>U90*0.5</f>
        <v>81.060885213606298</v>
      </c>
      <c r="W90" s="242"/>
      <c r="X90" s="242"/>
    </row>
    <row r="91" spans="1:24">
      <c r="A91" s="237">
        <v>43738</v>
      </c>
      <c r="B91" s="63" t="s">
        <v>40</v>
      </c>
      <c r="C91" s="232"/>
      <c r="D91" s="242"/>
      <c r="E91" s="242"/>
      <c r="F91" s="242"/>
      <c r="G91" s="242"/>
      <c r="H91" s="242"/>
      <c r="I91" s="242"/>
      <c r="J91" s="242"/>
      <c r="K91" s="242"/>
      <c r="L91" s="242"/>
      <c r="M91" s="242"/>
      <c r="N91" s="242"/>
      <c r="O91" s="242"/>
      <c r="P91" s="242"/>
      <c r="Q91" s="242"/>
      <c r="R91" s="242">
        <f>0.5*IF($Q63-SUM($N91:Q91)&lt;=0,0,IF($Q63-SUM($N91:Q91)&lt;$Q63/12*R$72/Q$22,$Q63-SUM($N91:Q91),$Q63/12*R$72/Q$22))</f>
        <v>114.49293199167246</v>
      </c>
      <c r="S91" s="242">
        <f>IF($Q63-SUM($N91:R91)&lt;=0,0,IF($Q63-SUM($N91:R91)&lt;$Q63/12*S$72/R$22,$Q63-SUM($N91:R91),$Q63/12*S$72/R$22))</f>
        <v>228.98586398334493</v>
      </c>
      <c r="T91" s="242">
        <f>(($Q$63-SUM($Q$91:S$91))*$K$18)/3.5</f>
        <v>259.61794780817894</v>
      </c>
      <c r="U91" s="242">
        <f>T91</f>
        <v>259.61794780817894</v>
      </c>
      <c r="V91" s="242">
        <f>U91</f>
        <v>259.61794780817894</v>
      </c>
      <c r="W91" s="242">
        <f>V91*0.5</f>
        <v>129.80897390408947</v>
      </c>
      <c r="X91" s="242"/>
    </row>
    <row r="92" spans="1:24">
      <c r="A92" s="237">
        <v>44104</v>
      </c>
      <c r="B92" s="63" t="s">
        <v>40</v>
      </c>
      <c r="C92" s="232"/>
      <c r="D92" s="242"/>
      <c r="E92" s="242"/>
      <c r="F92" s="242"/>
      <c r="G92" s="242"/>
      <c r="H92" s="242"/>
      <c r="I92" s="242"/>
      <c r="J92" s="242"/>
      <c r="K92" s="242"/>
      <c r="L92" s="242"/>
      <c r="M92" s="242"/>
      <c r="N92" s="242"/>
      <c r="O92" s="242"/>
      <c r="P92" s="242"/>
      <c r="Q92" s="242"/>
      <c r="R92" s="242"/>
      <c r="S92" s="242">
        <f>0.5*IF($R63-SUM($N92:R92)&lt;=0,0,IF($R63-SUM($N92:R92)&lt;$R63/12*S$72/R$22,$R63-SUM($N92:R92),$R63/12*S$72/R$22))</f>
        <v>144.57902315447708</v>
      </c>
      <c r="T92" s="242">
        <f>(($R$63-SUM($P$92:S$92))*$K$18)/4.5</f>
        <v>327.8395324019358</v>
      </c>
      <c r="U92" s="242">
        <f>T92</f>
        <v>327.8395324019358</v>
      </c>
      <c r="V92" s="242">
        <f>U92</f>
        <v>327.8395324019358</v>
      </c>
      <c r="W92" s="242">
        <f>V92</f>
        <v>327.8395324019358</v>
      </c>
      <c r="X92" s="242">
        <f>W92*0.5</f>
        <v>163.9197662009679</v>
      </c>
    </row>
    <row r="93" spans="1:24">
      <c r="A93" s="237">
        <v>44469</v>
      </c>
      <c r="B93" s="63" t="s">
        <v>40</v>
      </c>
      <c r="C93" s="232"/>
      <c r="D93" s="242"/>
      <c r="E93" s="242"/>
      <c r="F93" s="242"/>
      <c r="G93" s="242"/>
      <c r="H93" s="242"/>
      <c r="I93" s="242"/>
      <c r="J93" s="242"/>
      <c r="K93" s="242"/>
      <c r="L93" s="242"/>
      <c r="M93" s="242"/>
      <c r="N93" s="242"/>
      <c r="O93" s="242"/>
      <c r="P93" s="242"/>
      <c r="Q93" s="242"/>
      <c r="R93" s="242"/>
      <c r="S93" s="242"/>
      <c r="T93" s="242">
        <f>0.5*IF($S67-SUM($N93:S93)&lt;=0,0,IF($S67-SUM($N93:S93)&lt;$S67/12*T$72/S$22,$S67-SUM($N93:S93),$S67/12*T$72/S$22))</f>
        <v>489.92880820571753</v>
      </c>
      <c r="U93" s="242">
        <f>IF($S67-SUM($N93:T93)&lt;=0,0,IF($S67-SUM($N93:T93)&lt;$S67/12*U$72/T$22,$S67-SUM($N93:T93),$S67/12*U$72/T$22))</f>
        <v>979.85761641143506</v>
      </c>
      <c r="V93" s="242">
        <f>IF($S67-SUM($N93:U93)&lt;=0,0,IF($S67-SUM($N93:U93)&lt;$S67/12*V$72/U$22,$S67-SUM($N93:U93),$S67/12*V$72/U$22))</f>
        <v>979.85761641143506</v>
      </c>
      <c r="W93" s="242">
        <f>IF($S67-SUM($N93:V93)&lt;=0,0,IF($S67-SUM($N93:V93)&lt;$S67/12*W$72/V$22,$S67-SUM($N93:V93),$S67/12*W$72/V$22))</f>
        <v>979.85761641143506</v>
      </c>
      <c r="X93" s="242">
        <f>IF($S67-SUM($N93:W93)&lt;=0,0,IF($S67-SUM($N93:W93)&lt;$S67/12*X$72/W$22,$S67-SUM($N93:W93),$S67/12*X$72/W$22))</f>
        <v>979.85761641143506</v>
      </c>
    </row>
    <row r="94" spans="1:24">
      <c r="A94" s="237">
        <v>44834</v>
      </c>
      <c r="B94" s="63" t="s">
        <v>40</v>
      </c>
      <c r="C94" s="232"/>
      <c r="D94" s="242"/>
      <c r="E94" s="242"/>
      <c r="F94" s="242"/>
      <c r="G94" s="242"/>
      <c r="H94" s="242"/>
      <c r="I94" s="242"/>
      <c r="J94" s="242"/>
      <c r="K94" s="242"/>
      <c r="L94" s="242"/>
      <c r="M94" s="242"/>
      <c r="N94" s="242"/>
      <c r="O94" s="242"/>
      <c r="P94" s="242"/>
      <c r="Q94" s="242"/>
      <c r="R94" s="242"/>
      <c r="S94" s="242"/>
      <c r="T94" s="242"/>
      <c r="U94" s="242">
        <f>0.5*IF($T67-SUM($N94:T94)&lt;=0,0,IF($T67-SUM($N94:T94)&lt;$T67/12*U$72/T$22,$T67-SUM($N94:T94),$T67/12*U$72/T$22))</f>
        <v>490.50742525586628</v>
      </c>
      <c r="V94" s="242">
        <f>IF($T67-SUM($N94:U94)&lt;=0,0,IF($T67-SUM($N94:U94)&lt;$T67/12*V$72/U$22,$T67-SUM($N94:U94),$T67/12*V$72/U$22))</f>
        <v>981.01485051173256</v>
      </c>
      <c r="W94" s="242">
        <f>IF($T67-SUM($N94:V94)&lt;=0,0,IF($T67-SUM($N94:V94)&lt;$T67/12*W$72/V$22,$T67-SUM($N94:V94),$T67/12*W$72/V$22))</f>
        <v>981.01485051173256</v>
      </c>
      <c r="X94" s="242">
        <f>IF($T67-SUM($N94:W94)&lt;=0,0,IF($T67-SUM($N94:W94)&lt;$T67/12*X$72/W$22,$T67-SUM($N94:W94),$T67/12*X$72/W$22))</f>
        <v>981.01485051173256</v>
      </c>
    </row>
    <row r="95" spans="1:24">
      <c r="A95" s="237">
        <v>45199</v>
      </c>
      <c r="B95" s="63" t="s">
        <v>40</v>
      </c>
      <c r="C95" s="232"/>
      <c r="D95" s="242"/>
      <c r="E95" s="242"/>
      <c r="F95" s="242"/>
      <c r="G95" s="242"/>
      <c r="H95" s="242"/>
      <c r="I95" s="242"/>
      <c r="J95" s="242"/>
      <c r="K95" s="242"/>
      <c r="L95" s="242"/>
      <c r="M95" s="242"/>
      <c r="N95" s="242"/>
      <c r="O95" s="242"/>
      <c r="P95" s="242"/>
      <c r="Q95" s="242"/>
      <c r="R95" s="242"/>
      <c r="S95" s="242"/>
      <c r="T95" s="242"/>
      <c r="U95" s="242"/>
      <c r="V95" s="242">
        <f>0.5*IF($U67-SUM($N95:U95)&lt;=0,0,IF($U67-SUM($N95:U95)&lt;$U67/12*V$72/U$22,$U67-SUM($N95:U95),$U67/12*V$72/U$22))</f>
        <v>266.8126879397156</v>
      </c>
      <c r="W95" s="242">
        <f>IF($U67-SUM($N95:V95)&lt;=0,0,IF($U67-SUM($N95:V95)&lt;$U67/12*W$72/V$22,$U67-SUM($N95:V95),$U67/12*W$72/V$22))</f>
        <v>533.6253758794312</v>
      </c>
      <c r="X95" s="242">
        <f>IF($U67-SUM($N95:W95)&lt;=0,0,IF($U67-SUM($N95:W95)&lt;$U67/12*X$72/W$22,$U67-SUM($N95:W95),$U67/12*X$72/W$22))</f>
        <v>533.6253758794312</v>
      </c>
    </row>
    <row r="96" spans="1:24">
      <c r="A96" s="237">
        <v>45565</v>
      </c>
      <c r="B96" s="63" t="s">
        <v>40</v>
      </c>
      <c r="C96" s="232"/>
      <c r="D96" s="242"/>
      <c r="E96" s="242"/>
      <c r="F96" s="242"/>
      <c r="G96" s="242"/>
      <c r="H96" s="242"/>
      <c r="I96" s="242"/>
      <c r="J96" s="242"/>
      <c r="K96" s="242"/>
      <c r="L96" s="242"/>
      <c r="M96" s="242"/>
      <c r="N96" s="242"/>
      <c r="O96" s="242"/>
      <c r="P96" s="242"/>
      <c r="Q96" s="242"/>
      <c r="R96" s="242"/>
      <c r="S96" s="242"/>
      <c r="T96" s="242"/>
      <c r="U96" s="242"/>
      <c r="V96" s="242"/>
      <c r="W96" s="242">
        <f>0.5*IF($V67-SUM($N96:V96)&lt;=0,0,IF($V67-SUM($N96:V96)&lt;$V67/12*W$72/V$22,$V67-SUM($N96:V96),$V67/12*W$72/V$22))</f>
        <v>240.1618878513585</v>
      </c>
      <c r="X96" s="242">
        <f>IF($V67-SUM($N96:W96)&lt;=0,0,IF($V67-SUM($N96:W96)&lt;$V67/12*X$72/W$22,$V67-SUM($N96:W96),$V67/12*X$72/W$22))</f>
        <v>480.323775702717</v>
      </c>
    </row>
    <row r="97" spans="1:24">
      <c r="A97" s="237">
        <v>45930</v>
      </c>
      <c r="B97" s="63" t="s">
        <v>40</v>
      </c>
      <c r="C97" s="232"/>
      <c r="D97" s="242"/>
      <c r="E97" s="242"/>
      <c r="F97" s="242"/>
      <c r="G97" s="242"/>
      <c r="H97" s="242"/>
      <c r="I97" s="242"/>
      <c r="J97" s="242"/>
      <c r="K97" s="242"/>
      <c r="L97" s="242"/>
      <c r="M97" s="242"/>
      <c r="N97" s="242"/>
      <c r="O97" s="242"/>
      <c r="P97" s="242"/>
      <c r="Q97" s="242"/>
      <c r="R97" s="242"/>
      <c r="S97" s="242"/>
      <c r="T97" s="242"/>
      <c r="U97" s="242"/>
      <c r="V97" s="242"/>
      <c r="W97" s="242"/>
      <c r="X97" s="242">
        <f>0.5*IF($W67-SUM($N97:W97)&lt;=0,0,IF($W67-SUM($N97:W97)&lt;$W67/12*X$72/W$22,$W67-SUM($N97:W97),$W67/12*X$72/W$22))</f>
        <v>223.19843349734191</v>
      </c>
    </row>
    <row r="99" spans="1:24">
      <c r="B99" s="390"/>
      <c r="C99" s="391" t="s">
        <v>281</v>
      </c>
      <c r="D99" s="397">
        <v>39538</v>
      </c>
      <c r="E99" s="397">
        <v>39721</v>
      </c>
      <c r="F99" s="397">
        <v>40086</v>
      </c>
      <c r="G99" s="397">
        <v>40268</v>
      </c>
      <c r="H99" s="397">
        <v>40451</v>
      </c>
      <c r="I99" s="397">
        <v>40816</v>
      </c>
      <c r="J99" s="397">
        <v>41182</v>
      </c>
      <c r="K99" s="397">
        <v>41547</v>
      </c>
      <c r="L99" s="397">
        <v>41912</v>
      </c>
      <c r="M99" s="397">
        <v>42277</v>
      </c>
      <c r="N99" s="397">
        <v>42643</v>
      </c>
      <c r="O99" s="397">
        <v>43008</v>
      </c>
      <c r="P99" s="397">
        <v>43373</v>
      </c>
      <c r="Q99" s="397">
        <v>43738</v>
      </c>
      <c r="R99" s="397">
        <v>44104</v>
      </c>
      <c r="S99" s="232"/>
      <c r="T99" s="232"/>
      <c r="U99" s="232"/>
      <c r="V99" s="232"/>
      <c r="W99" s="232"/>
    </row>
    <row r="100" spans="1:24">
      <c r="B100" s="390"/>
      <c r="C100" s="389" t="s">
        <v>11</v>
      </c>
      <c r="D100" s="397"/>
      <c r="E100" s="397"/>
      <c r="F100" s="397"/>
      <c r="G100" s="397"/>
      <c r="H100" s="397"/>
      <c r="I100" s="397"/>
      <c r="J100" s="397"/>
      <c r="K100" s="397"/>
      <c r="L100" s="397"/>
      <c r="M100" s="397"/>
      <c r="N100" s="397"/>
      <c r="O100" s="397"/>
      <c r="P100" s="397"/>
      <c r="Q100" s="397"/>
      <c r="R100" s="397"/>
    </row>
    <row r="101" spans="1:24">
      <c r="A101" s="65" t="s">
        <v>261</v>
      </c>
      <c r="B101" s="63" t="s">
        <v>40</v>
      </c>
      <c r="C101" s="232" t="s">
        <v>217</v>
      </c>
      <c r="D101" s="234">
        <f>SUM(E75:E92)</f>
        <v>775.35052025608229</v>
      </c>
      <c r="E101" s="234">
        <f t="shared" ref="E101:R101" si="13">SUM(F75:F92)</f>
        <v>996.61690686494535</v>
      </c>
      <c r="F101" s="234">
        <f t="shared" si="13"/>
        <v>2300.1747729710587</v>
      </c>
      <c r="G101" s="234">
        <f t="shared" si="13"/>
        <v>1265.6796311467238</v>
      </c>
      <c r="H101" s="234">
        <f t="shared" si="13"/>
        <v>1696.6295643350707</v>
      </c>
      <c r="I101" s="234">
        <f t="shared" si="13"/>
        <v>3522.08464482813</v>
      </c>
      <c r="J101" s="234">
        <f t="shared" si="13"/>
        <v>3670.7791297922236</v>
      </c>
      <c r="K101" s="234">
        <f t="shared" si="13"/>
        <v>3773.7104302859398</v>
      </c>
      <c r="L101" s="234">
        <f t="shared" si="13"/>
        <v>3890.6289109861195</v>
      </c>
      <c r="M101" s="234">
        <f t="shared" si="13"/>
        <v>4016.1548871979685</v>
      </c>
      <c r="N101" s="234">
        <f t="shared" si="13"/>
        <v>3974.5672104883142</v>
      </c>
      <c r="O101" s="234">
        <f t="shared" si="13"/>
        <v>1684.3337067148777</v>
      </c>
      <c r="P101" s="234">
        <f t="shared" si="13"/>
        <v>1223.9782552372408</v>
      </c>
      <c r="Q101" s="234">
        <f t="shared" si="13"/>
        <v>1118.4032082244141</v>
      </c>
      <c r="R101" s="234">
        <f t="shared" si="13"/>
        <v>1028.6564077601511</v>
      </c>
    </row>
    <row r="103" spans="1:24">
      <c r="A103" s="65" t="s">
        <v>300</v>
      </c>
      <c r="B103" s="390"/>
      <c r="C103" s="391" t="s">
        <v>281</v>
      </c>
      <c r="D103" s="397">
        <v>44469</v>
      </c>
      <c r="E103" s="397">
        <v>44834</v>
      </c>
      <c r="F103" s="397">
        <v>45199</v>
      </c>
      <c r="G103" s="397">
        <v>45565</v>
      </c>
      <c r="H103" s="397">
        <v>45930</v>
      </c>
    </row>
    <row r="104" spans="1:24">
      <c r="A104" s="63" t="s">
        <v>283</v>
      </c>
      <c r="B104" s="63" t="s">
        <v>40</v>
      </c>
      <c r="C104" s="232" t="s">
        <v>53</v>
      </c>
      <c r="D104" s="234">
        <f>SUM(T75:T92)</f>
        <v>1110.6578933589626</v>
      </c>
      <c r="E104" s="234">
        <f>SUM(U75:U92)</f>
        <v>864.27154947888664</v>
      </c>
      <c r="F104" s="234">
        <f>SUM(V75:V92)</f>
        <v>668.51836542372098</v>
      </c>
      <c r="G104" s="234">
        <f>SUM(W75:W92)</f>
        <v>457.6485063060253</v>
      </c>
      <c r="H104" s="234">
        <f>SUM(X75:X92)</f>
        <v>163.9197662009679</v>
      </c>
    </row>
    <row r="105" spans="1:24">
      <c r="A105" s="63" t="s">
        <v>284</v>
      </c>
      <c r="B105" s="63" t="s">
        <v>40</v>
      </c>
      <c r="C105" s="232" t="s">
        <v>53</v>
      </c>
      <c r="D105" s="234">
        <f>SUM(T93:T97)</f>
        <v>489.92880820571753</v>
      </c>
      <c r="E105" s="234">
        <f>SUM(U93:U97)</f>
        <v>1470.3650416673013</v>
      </c>
      <c r="F105" s="234">
        <f>SUM(V93:V97)</f>
        <v>2227.6851548628833</v>
      </c>
      <c r="G105" s="234">
        <f>SUM(W93:W97)</f>
        <v>2734.6597306539575</v>
      </c>
      <c r="H105" s="234">
        <f>SUM(X93:X97)</f>
        <v>3198.0200520026574</v>
      </c>
    </row>
    <row r="106" spans="1:24">
      <c r="A106" s="65" t="s">
        <v>301</v>
      </c>
      <c r="B106" s="63" t="s">
        <v>40</v>
      </c>
      <c r="C106" s="232" t="s">
        <v>53</v>
      </c>
      <c r="D106" s="234">
        <f>D104+D105</f>
        <v>1600.5867015646802</v>
      </c>
      <c r="E106" s="234">
        <f t="shared" ref="E106:H106" si="14">E104+E105</f>
        <v>2334.636591146188</v>
      </c>
      <c r="F106" s="234">
        <f t="shared" si="14"/>
        <v>2896.2035202866045</v>
      </c>
      <c r="G106" s="234">
        <f t="shared" si="14"/>
        <v>3192.3082369599829</v>
      </c>
      <c r="H106" s="234">
        <f t="shared" si="14"/>
        <v>3361.9398182036252</v>
      </c>
    </row>
    <row r="107" spans="1:24" ht="14.25" customHeight="1"/>
    <row r="108" spans="1:24" ht="14.25" customHeight="1"/>
    <row r="109" spans="1:24" s="62" customFormat="1" ht="19.350000000000001" customHeight="1">
      <c r="A109" s="256" t="s">
        <v>330</v>
      </c>
      <c r="B109" s="256"/>
    </row>
    <row r="110" spans="1:24" s="62" customFormat="1" ht="14.25" customHeight="1">
      <c r="A110" s="63"/>
      <c r="B110" s="404"/>
      <c r="C110" s="391" t="s">
        <v>285</v>
      </c>
      <c r="D110" s="398">
        <v>39387</v>
      </c>
      <c r="E110" s="398">
        <v>39539</v>
      </c>
      <c r="F110" s="398">
        <v>39722</v>
      </c>
      <c r="G110" s="398">
        <v>40087</v>
      </c>
      <c r="H110" s="398">
        <v>40269</v>
      </c>
      <c r="I110" s="398">
        <v>40452</v>
      </c>
      <c r="J110" s="398">
        <v>40817</v>
      </c>
      <c r="K110" s="398">
        <v>41183</v>
      </c>
      <c r="L110" s="398">
        <v>41548</v>
      </c>
      <c r="M110" s="398">
        <v>41913</v>
      </c>
      <c r="N110" s="398">
        <v>42278</v>
      </c>
      <c r="O110" s="398">
        <v>42644</v>
      </c>
      <c r="P110" s="398">
        <v>43009</v>
      </c>
      <c r="Q110" s="398">
        <v>43374</v>
      </c>
      <c r="R110" s="398">
        <v>43739</v>
      </c>
      <c r="S110" s="398">
        <v>44105</v>
      </c>
      <c r="T110" s="398">
        <v>44470</v>
      </c>
      <c r="U110" s="398">
        <v>44835</v>
      </c>
      <c r="V110" s="398">
        <v>45200</v>
      </c>
      <c r="W110" s="398">
        <v>45566</v>
      </c>
    </row>
    <row r="111" spans="1:24" s="62" customFormat="1" ht="14.25" customHeight="1">
      <c r="A111" s="63"/>
      <c r="B111" s="404"/>
      <c r="C111" s="391" t="s">
        <v>286</v>
      </c>
      <c r="D111" s="398">
        <v>39538</v>
      </c>
      <c r="E111" s="398">
        <v>39721</v>
      </c>
      <c r="F111" s="398">
        <v>40086</v>
      </c>
      <c r="G111" s="398">
        <v>40268</v>
      </c>
      <c r="H111" s="398">
        <v>40451</v>
      </c>
      <c r="I111" s="398">
        <v>40816</v>
      </c>
      <c r="J111" s="398">
        <v>41182</v>
      </c>
      <c r="K111" s="398">
        <v>41547</v>
      </c>
      <c r="L111" s="398">
        <v>41912</v>
      </c>
      <c r="M111" s="398">
        <v>42277</v>
      </c>
      <c r="N111" s="398">
        <v>42643</v>
      </c>
      <c r="O111" s="398">
        <v>43008</v>
      </c>
      <c r="P111" s="398">
        <v>43373</v>
      </c>
      <c r="Q111" s="398">
        <v>43738</v>
      </c>
      <c r="R111" s="398">
        <v>44104</v>
      </c>
      <c r="S111" s="392" t="s">
        <v>247</v>
      </c>
      <c r="T111" s="392" t="s">
        <v>248</v>
      </c>
      <c r="U111" s="392" t="s">
        <v>249</v>
      </c>
      <c r="V111" s="392" t="s">
        <v>250</v>
      </c>
      <c r="W111" s="392" t="s">
        <v>251</v>
      </c>
    </row>
    <row r="112" spans="1:24" s="62" customFormat="1" ht="14.25" customHeight="1">
      <c r="A112" s="65" t="s">
        <v>282</v>
      </c>
      <c r="B112" s="389" t="s">
        <v>10</v>
      </c>
      <c r="C112" s="389" t="s">
        <v>11</v>
      </c>
      <c r="D112" s="405"/>
      <c r="E112" s="405"/>
      <c r="F112" s="405"/>
      <c r="G112" s="405"/>
      <c r="H112" s="405"/>
      <c r="I112" s="405"/>
      <c r="J112" s="405"/>
      <c r="K112" s="405"/>
      <c r="L112" s="405"/>
      <c r="M112" s="405"/>
      <c r="N112" s="405"/>
      <c r="O112" s="405"/>
      <c r="P112" s="405"/>
      <c r="Q112" s="405"/>
      <c r="R112" s="405"/>
      <c r="S112" s="405"/>
      <c r="T112" s="405"/>
      <c r="U112" s="405"/>
      <c r="V112" s="405"/>
      <c r="W112" s="405"/>
    </row>
    <row r="113" spans="1:59" s="62" customFormat="1" ht="14.25" customHeight="1">
      <c r="A113" s="63" t="s">
        <v>227</v>
      </c>
      <c r="B113" s="63" t="s">
        <v>40</v>
      </c>
      <c r="C113" s="232" t="s">
        <v>217</v>
      </c>
      <c r="D113" s="234"/>
      <c r="E113" s="234"/>
      <c r="F113" s="234"/>
      <c r="G113" s="234"/>
      <c r="H113" s="234">
        <v>0</v>
      </c>
      <c r="I113" s="234">
        <v>1454.0929084380609</v>
      </c>
      <c r="J113" s="234">
        <v>1454.0929084380609</v>
      </c>
      <c r="K113" s="234">
        <v>0</v>
      </c>
      <c r="L113" s="234">
        <v>0</v>
      </c>
      <c r="M113" s="234">
        <v>0</v>
      </c>
      <c r="N113" s="234"/>
      <c r="O113" s="234"/>
      <c r="P113" s="234"/>
      <c r="Q113" s="234"/>
      <c r="R113" s="234"/>
      <c r="S113" s="234"/>
      <c r="T113" s="234"/>
      <c r="U113" s="234"/>
      <c r="V113" s="234"/>
      <c r="W113" s="234"/>
    </row>
    <row r="114" spans="1:59" s="62" customFormat="1" ht="14.25" customHeight="1">
      <c r="A114" s="63"/>
      <c r="B114" s="63"/>
      <c r="C114" s="232"/>
      <c r="D114" s="234"/>
      <c r="E114" s="234"/>
      <c r="F114" s="234"/>
      <c r="G114" s="234"/>
      <c r="H114" s="234"/>
      <c r="I114" s="234"/>
      <c r="J114" s="234"/>
      <c r="K114" s="234"/>
      <c r="L114" s="234"/>
      <c r="M114" s="234"/>
      <c r="N114" s="234"/>
      <c r="O114" s="234"/>
      <c r="P114" s="234"/>
      <c r="Q114" s="234"/>
      <c r="R114" s="234"/>
      <c r="S114" s="234"/>
      <c r="T114" s="234"/>
      <c r="U114" s="234"/>
      <c r="V114" s="234"/>
      <c r="W114" s="234"/>
    </row>
    <row r="115" spans="1:59" s="62" customFormat="1" ht="14.25" customHeight="1">
      <c r="A115" s="65" t="s">
        <v>280</v>
      </c>
      <c r="D115" s="234"/>
      <c r="E115" s="234"/>
      <c r="F115" s="234"/>
      <c r="G115" s="234"/>
      <c r="H115" s="234"/>
      <c r="I115" s="234"/>
      <c r="J115" s="234"/>
      <c r="K115" s="234"/>
      <c r="L115" s="234"/>
      <c r="M115" s="234"/>
      <c r="N115" s="234"/>
      <c r="O115" s="234"/>
      <c r="P115" s="234"/>
      <c r="Q115" s="234"/>
      <c r="R115" s="234"/>
      <c r="S115" s="234"/>
      <c r="T115" s="234"/>
      <c r="U115" s="234"/>
      <c r="V115" s="234"/>
      <c r="W115" s="234"/>
    </row>
    <row r="116" spans="1:59" s="62" customFormat="1" ht="14.25" customHeight="1">
      <c r="A116" s="63" t="s">
        <v>254</v>
      </c>
      <c r="B116" s="63" t="s">
        <v>40</v>
      </c>
      <c r="C116" s="232" t="s">
        <v>217</v>
      </c>
      <c r="D116" s="234"/>
      <c r="E116" s="234"/>
      <c r="F116" s="234"/>
      <c r="G116" s="234"/>
      <c r="H116" s="234"/>
      <c r="I116" s="234"/>
      <c r="J116" s="234"/>
      <c r="K116" s="234"/>
      <c r="L116" s="234"/>
      <c r="M116" s="234"/>
      <c r="N116" s="234">
        <f>D49</f>
        <v>95.863045141545527</v>
      </c>
      <c r="O116" s="234">
        <f>E49</f>
        <v>12.284183296378417</v>
      </c>
      <c r="P116" s="234">
        <f>F49</f>
        <v>7.7706471219163387</v>
      </c>
      <c r="Q116" s="234">
        <f>G49</f>
        <v>17.301006245662734</v>
      </c>
      <c r="R116" s="234">
        <f>H49</f>
        <v>0</v>
      </c>
      <c r="S116" s="234"/>
      <c r="T116" s="234"/>
      <c r="U116" s="234"/>
      <c r="V116" s="234"/>
      <c r="W116" s="234"/>
    </row>
    <row r="117" spans="1:59" s="62" customFormat="1" ht="14.25" customHeight="1">
      <c r="A117" s="63" t="s">
        <v>253</v>
      </c>
      <c r="B117" s="63" t="s">
        <v>40</v>
      </c>
      <c r="C117" s="232" t="s">
        <v>217</v>
      </c>
      <c r="D117" s="234"/>
      <c r="E117" s="234"/>
      <c r="F117" s="234"/>
      <c r="G117" s="234"/>
      <c r="H117" s="234"/>
      <c r="I117" s="234"/>
      <c r="J117" s="234"/>
      <c r="K117" s="234"/>
      <c r="L117" s="234"/>
      <c r="M117" s="234"/>
      <c r="N117" s="234">
        <f>'RAB inputs'!N35</f>
        <v>116.32743267504486</v>
      </c>
      <c r="O117" s="234">
        <f>'RAB inputs'!O35</f>
        <v>116.32743267504486</v>
      </c>
      <c r="P117" s="234">
        <f>'RAB inputs'!P35</f>
        <v>116.32743267504486</v>
      </c>
      <c r="Q117" s="234">
        <f>'RAB inputs'!Q35</f>
        <v>116.32743267504486</v>
      </c>
      <c r="R117" s="234">
        <f>'RAB inputs'!R35</f>
        <v>116.32743267504486</v>
      </c>
      <c r="S117" s="234"/>
      <c r="T117" s="234"/>
      <c r="U117" s="234"/>
      <c r="V117" s="234"/>
      <c r="W117" s="234"/>
    </row>
    <row r="118" spans="1:59" s="62" customFormat="1" ht="14.25" customHeight="1">
      <c r="A118" s="63"/>
      <c r="B118" s="63"/>
      <c r="C118" s="232"/>
      <c r="D118" s="234"/>
      <c r="E118" s="234"/>
      <c r="F118" s="234"/>
      <c r="G118" s="234"/>
      <c r="H118" s="234"/>
      <c r="I118" s="234"/>
      <c r="J118" s="234"/>
      <c r="K118" s="234"/>
      <c r="L118" s="234"/>
      <c r="M118" s="234"/>
      <c r="N118" s="234"/>
      <c r="O118" s="234"/>
      <c r="P118" s="234"/>
      <c r="Q118" s="234"/>
      <c r="R118" s="234"/>
      <c r="S118" s="234"/>
      <c r="T118" s="234"/>
      <c r="U118" s="234"/>
      <c r="V118" s="234"/>
      <c r="W118" s="234"/>
    </row>
    <row r="119" spans="1:59" s="62" customFormat="1" ht="14.25" customHeight="1">
      <c r="A119" s="65" t="s">
        <v>772</v>
      </c>
      <c r="B119" s="63"/>
    </row>
    <row r="120" spans="1:59" s="62" customFormat="1" ht="14.25" customHeight="1">
      <c r="A120" s="286" t="s">
        <v>320</v>
      </c>
      <c r="B120" s="286" t="s">
        <v>40</v>
      </c>
      <c r="C120" s="232" t="s">
        <v>53</v>
      </c>
      <c r="D120" s="234"/>
      <c r="E120" s="234"/>
      <c r="F120" s="234"/>
      <c r="G120" s="234"/>
      <c r="H120" s="234"/>
      <c r="I120" s="234"/>
      <c r="J120" s="234"/>
      <c r="K120" s="234"/>
      <c r="L120" s="234"/>
      <c r="M120" s="234"/>
      <c r="N120" s="234"/>
      <c r="O120" s="234"/>
      <c r="P120" s="234"/>
      <c r="Q120" s="234"/>
      <c r="R120" s="234"/>
      <c r="S120" s="234">
        <f>'FD allowances'!D51+'FD allowances'!D55+'FD forecasts'!D9+'FD forecasts'!D10</f>
        <v>47.5</v>
      </c>
      <c r="T120" s="234">
        <f>'FD allowances'!E51+'FD allowances'!E55+'FD forecasts'!E9+'FD forecasts'!E10</f>
        <v>47.5</v>
      </c>
      <c r="U120" s="234">
        <f>'FD allowances'!F51+'FD allowances'!F55+'FD forecasts'!F9+'FD forecasts'!F10</f>
        <v>10</v>
      </c>
      <c r="V120" s="234">
        <f>'FD allowances'!G51+'FD allowances'!G55+'FD forecasts'!G9+'FD forecasts'!G10</f>
        <v>10</v>
      </c>
      <c r="W120" s="234">
        <f>'FD allowances'!H51+'FD allowances'!H55+'FD forecasts'!H9+'FD forecasts'!H10</f>
        <v>10</v>
      </c>
    </row>
    <row r="121" spans="1:59" s="62" customFormat="1" ht="14.25" customHeight="1"/>
    <row r="122" spans="1:59" ht="14.25" customHeight="1">
      <c r="B122" s="232"/>
    </row>
    <row r="123" spans="1:59" ht="14.25" customHeight="1">
      <c r="A123" s="65" t="s">
        <v>225</v>
      </c>
      <c r="B123" s="390"/>
      <c r="C123" s="391" t="s">
        <v>11</v>
      </c>
      <c r="D123" s="406" t="s">
        <v>331</v>
      </c>
      <c r="E123" s="395" t="s">
        <v>217</v>
      </c>
      <c r="F123" s="395" t="s">
        <v>217</v>
      </c>
      <c r="G123" s="395" t="s">
        <v>217</v>
      </c>
      <c r="H123" s="395" t="s">
        <v>217</v>
      </c>
      <c r="I123" s="395" t="s">
        <v>217</v>
      </c>
      <c r="J123" s="395" t="s">
        <v>217</v>
      </c>
      <c r="K123" s="395" t="s">
        <v>217</v>
      </c>
      <c r="L123" s="395" t="s">
        <v>217</v>
      </c>
      <c r="M123" s="395" t="s">
        <v>217</v>
      </c>
      <c r="N123" s="395" t="s">
        <v>217</v>
      </c>
      <c r="O123" s="395" t="s">
        <v>217</v>
      </c>
      <c r="P123" s="395" t="s">
        <v>217</v>
      </c>
      <c r="Q123" s="395" t="s">
        <v>217</v>
      </c>
      <c r="R123" s="395" t="s">
        <v>217</v>
      </c>
      <c r="S123" s="395" t="s">
        <v>217</v>
      </c>
      <c r="T123" s="395" t="s">
        <v>53</v>
      </c>
      <c r="U123" s="395" t="s">
        <v>53</v>
      </c>
      <c r="V123" s="395" t="s">
        <v>53</v>
      </c>
      <c r="W123" s="395" t="s">
        <v>53</v>
      </c>
      <c r="X123" s="395" t="s">
        <v>53</v>
      </c>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row>
    <row r="124" spans="1:59" ht="14.25" customHeight="1">
      <c r="B124" s="390"/>
      <c r="C124" s="391" t="s">
        <v>281</v>
      </c>
      <c r="D124" s="392">
        <v>39386</v>
      </c>
      <c r="E124" s="397">
        <v>39538</v>
      </c>
      <c r="F124" s="397">
        <v>39721</v>
      </c>
      <c r="G124" s="397">
        <v>40086</v>
      </c>
      <c r="H124" s="397">
        <v>40268</v>
      </c>
      <c r="I124" s="397">
        <v>40451</v>
      </c>
      <c r="J124" s="397">
        <v>40816</v>
      </c>
      <c r="K124" s="397">
        <v>41182</v>
      </c>
      <c r="L124" s="397">
        <v>41547</v>
      </c>
      <c r="M124" s="397">
        <v>41912</v>
      </c>
      <c r="N124" s="397">
        <v>42277</v>
      </c>
      <c r="O124" s="397">
        <v>42643</v>
      </c>
      <c r="P124" s="397">
        <v>43008</v>
      </c>
      <c r="Q124" s="397">
        <v>43373</v>
      </c>
      <c r="R124" s="397">
        <v>43738</v>
      </c>
      <c r="S124" s="397">
        <v>44104</v>
      </c>
      <c r="T124" s="397">
        <v>44469</v>
      </c>
      <c r="U124" s="397">
        <v>44834</v>
      </c>
      <c r="V124" s="397">
        <v>45199</v>
      </c>
      <c r="W124" s="397">
        <v>45565</v>
      </c>
      <c r="X124" s="397">
        <v>45930</v>
      </c>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row>
    <row r="125" spans="1:59" ht="14.25" customHeight="1">
      <c r="A125" s="65"/>
      <c r="B125" s="390"/>
      <c r="C125" s="391" t="s">
        <v>80</v>
      </c>
      <c r="D125" s="406" t="s">
        <v>331</v>
      </c>
      <c r="E125" s="390"/>
      <c r="F125" s="390"/>
      <c r="G125" s="390"/>
      <c r="H125" s="390"/>
      <c r="I125" s="390"/>
      <c r="J125" s="390"/>
      <c r="K125" s="390"/>
      <c r="L125" s="390"/>
      <c r="M125" s="390"/>
      <c r="N125" s="390"/>
      <c r="O125" s="390"/>
      <c r="P125" s="390"/>
      <c r="Q125" s="390"/>
      <c r="R125" s="390"/>
      <c r="S125" s="390"/>
      <c r="T125" s="390"/>
      <c r="U125" s="390"/>
      <c r="V125" s="390"/>
      <c r="W125" s="390"/>
      <c r="X125" s="390"/>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row>
    <row r="126" spans="1:59" ht="14.25" customHeight="1">
      <c r="A126" s="65" t="s">
        <v>80</v>
      </c>
      <c r="D126" s="64"/>
      <c r="E126" s="242">
        <f t="shared" ref="E126:X126" si="15">MAX(0,(YEAR(E124)-YEAR(D124))*12+(MONTH(E124)-MONTH(D124)))</f>
        <v>5</v>
      </c>
      <c r="F126" s="242">
        <f>MAX(0,(YEAR(F124)-YEAR(E124))*12+(MONTH(F124)-MONTH(E124)))</f>
        <v>6</v>
      </c>
      <c r="G126" s="242">
        <f t="shared" si="15"/>
        <v>12</v>
      </c>
      <c r="H126" s="242">
        <f t="shared" si="15"/>
        <v>6</v>
      </c>
      <c r="I126" s="242">
        <f t="shared" si="15"/>
        <v>6</v>
      </c>
      <c r="J126" s="242">
        <f t="shared" si="15"/>
        <v>12</v>
      </c>
      <c r="K126" s="242">
        <f t="shared" si="15"/>
        <v>12</v>
      </c>
      <c r="L126" s="242">
        <f t="shared" si="15"/>
        <v>12</v>
      </c>
      <c r="M126" s="242">
        <f t="shared" si="15"/>
        <v>12</v>
      </c>
      <c r="N126" s="242">
        <f t="shared" si="15"/>
        <v>12</v>
      </c>
      <c r="O126" s="242">
        <f t="shared" si="15"/>
        <v>12</v>
      </c>
      <c r="P126" s="242">
        <f t="shared" si="15"/>
        <v>12</v>
      </c>
      <c r="Q126" s="242">
        <f t="shared" si="15"/>
        <v>12</v>
      </c>
      <c r="R126" s="242">
        <f t="shared" si="15"/>
        <v>12</v>
      </c>
      <c r="S126" s="242">
        <f t="shared" si="15"/>
        <v>12</v>
      </c>
      <c r="T126" s="242">
        <f t="shared" si="15"/>
        <v>12</v>
      </c>
      <c r="U126" s="242">
        <f t="shared" si="15"/>
        <v>12</v>
      </c>
      <c r="V126" s="242">
        <f t="shared" si="15"/>
        <v>12</v>
      </c>
      <c r="W126" s="242">
        <f t="shared" si="15"/>
        <v>12</v>
      </c>
      <c r="X126" s="242">
        <f t="shared" si="15"/>
        <v>12</v>
      </c>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row>
    <row r="127" spans="1:59" ht="14.25" customHeight="1">
      <c r="A127" s="65" t="s">
        <v>225</v>
      </c>
      <c r="D127" s="64"/>
      <c r="E127" s="243"/>
      <c r="F127" s="243"/>
      <c r="G127" s="243"/>
      <c r="H127" s="243"/>
      <c r="I127" s="243"/>
      <c r="J127" s="243"/>
      <c r="K127" s="243"/>
      <c r="L127" s="243"/>
      <c r="M127" s="243"/>
      <c r="N127" s="243"/>
      <c r="O127" s="243"/>
      <c r="P127" s="243"/>
      <c r="Q127" s="243"/>
      <c r="R127" s="243"/>
      <c r="S127" s="243"/>
      <c r="T127" s="243"/>
      <c r="U127" s="243"/>
      <c r="V127" s="243"/>
      <c r="W127" s="243"/>
      <c r="X127" s="243"/>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row>
    <row r="128" spans="1:59" ht="14.25" customHeight="1">
      <c r="A128" s="65" t="s">
        <v>226</v>
      </c>
      <c r="B128" s="65" t="s">
        <v>10</v>
      </c>
      <c r="C128" s="65"/>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row>
    <row r="129" spans="1:59" ht="14.25" customHeight="1">
      <c r="A129" s="237">
        <v>40451</v>
      </c>
      <c r="B129" s="63" t="s">
        <v>40</v>
      </c>
      <c r="C129" s="232"/>
      <c r="D129" s="234"/>
      <c r="E129" s="234"/>
      <c r="F129" s="234"/>
      <c r="G129" s="234"/>
      <c r="H129" s="234"/>
      <c r="I129" s="234">
        <f t="shared" ref="I129:N129" si="16">$H113/12*I$126/H$23</f>
        <v>0</v>
      </c>
      <c r="J129" s="234">
        <f t="shared" si="16"/>
        <v>0</v>
      </c>
      <c r="K129" s="234">
        <f t="shared" si="16"/>
        <v>0</v>
      </c>
      <c r="L129" s="234">
        <f t="shared" si="16"/>
        <v>0</v>
      </c>
      <c r="M129" s="234">
        <f t="shared" si="16"/>
        <v>0</v>
      </c>
      <c r="N129" s="234">
        <f t="shared" si="16"/>
        <v>0</v>
      </c>
      <c r="O129" s="242">
        <f>($H113-SUM(I129:N129))/(N$23-(YEAR(N124)-YEAR(I124))-(0.5*I126/12))</f>
        <v>0</v>
      </c>
      <c r="P129" s="242">
        <f t="shared" ref="P129:X136" si="17">O129</f>
        <v>0</v>
      </c>
      <c r="Q129" s="242">
        <f t="shared" si="17"/>
        <v>0</v>
      </c>
      <c r="R129" s="242">
        <f t="shared" si="17"/>
        <v>0</v>
      </c>
      <c r="S129" s="242">
        <f t="shared" si="17"/>
        <v>0</v>
      </c>
      <c r="T129" s="242">
        <f t="shared" ref="T129:T134" si="18">S129*$K$18</f>
        <v>0</v>
      </c>
      <c r="U129" s="242">
        <f t="shared" si="17"/>
        <v>0</v>
      </c>
      <c r="V129" s="242">
        <f t="shared" si="17"/>
        <v>0</v>
      </c>
      <c r="W129" s="242">
        <f t="shared" si="17"/>
        <v>0</v>
      </c>
      <c r="X129" s="242">
        <f t="shared" si="17"/>
        <v>0</v>
      </c>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row>
    <row r="130" spans="1:59" ht="14.25" customHeight="1">
      <c r="A130" s="237">
        <v>40816</v>
      </c>
      <c r="B130" s="63" t="s">
        <v>40</v>
      </c>
      <c r="C130" s="232"/>
      <c r="D130" s="234"/>
      <c r="E130" s="234"/>
      <c r="F130" s="234"/>
      <c r="G130" s="234"/>
      <c r="H130" s="234"/>
      <c r="I130" s="234"/>
      <c r="J130" s="234">
        <f>$I113/12*J$126/I$23/2</f>
        <v>29.081858168761219</v>
      </c>
      <c r="K130" s="234">
        <f>$I113/12*K$126/J$23</f>
        <v>58.163716337522438</v>
      </c>
      <c r="L130" s="234">
        <f>$I113/12*L$126/K$23</f>
        <v>58.163716337522438</v>
      </c>
      <c r="M130" s="234">
        <f>$I113/12*M$126/L$23</f>
        <v>58.163716337522438</v>
      </c>
      <c r="N130" s="234">
        <f>$I113/12*N$126/M$23</f>
        <v>58.163716337522438</v>
      </c>
      <c r="O130" s="242">
        <f>($I113-SUM(J130:N130))/(N$23-(YEAR(N124)-YEAR(J124))-(0.5*J126/12))</f>
        <v>58.163716337522438</v>
      </c>
      <c r="P130" s="242">
        <f t="shared" si="17"/>
        <v>58.163716337522438</v>
      </c>
      <c r="Q130" s="242">
        <f t="shared" si="17"/>
        <v>58.163716337522438</v>
      </c>
      <c r="R130" s="242">
        <f t="shared" si="17"/>
        <v>58.163716337522438</v>
      </c>
      <c r="S130" s="242">
        <f t="shared" si="17"/>
        <v>58.163716337522438</v>
      </c>
      <c r="T130" s="242">
        <f t="shared" si="18"/>
        <v>65.944440454817496</v>
      </c>
      <c r="U130" s="242">
        <f t="shared" si="17"/>
        <v>65.944440454817496</v>
      </c>
      <c r="V130" s="242">
        <f t="shared" si="17"/>
        <v>65.944440454817496</v>
      </c>
      <c r="W130" s="242">
        <f t="shared" si="17"/>
        <v>65.944440454817496</v>
      </c>
      <c r="X130" s="242">
        <f t="shared" si="17"/>
        <v>65.944440454817496</v>
      </c>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row>
    <row r="131" spans="1:59" ht="14.25" customHeight="1">
      <c r="A131" s="237">
        <v>41182</v>
      </c>
      <c r="B131" s="63" t="s">
        <v>40</v>
      </c>
      <c r="C131" s="232"/>
      <c r="D131" s="234"/>
      <c r="E131" s="234"/>
      <c r="F131" s="234"/>
      <c r="G131" s="234"/>
      <c r="H131" s="234"/>
      <c r="I131" s="234"/>
      <c r="J131" s="234"/>
      <c r="K131" s="234">
        <f>$J113/12*K$126/J$23/2</f>
        <v>29.081858168761219</v>
      </c>
      <c r="L131" s="234">
        <f>$J113/12*L$126/K$23</f>
        <v>58.163716337522438</v>
      </c>
      <c r="M131" s="234">
        <f>$J113/12*M$126/L$23</f>
        <v>58.163716337522438</v>
      </c>
      <c r="N131" s="234">
        <f>$J113/12*N$126/M$23</f>
        <v>58.163716337522438</v>
      </c>
      <c r="O131" s="242">
        <f>($J113-SUM(K131:N131))/(N$23-(YEAR(N124)-YEAR(K124))-(0.5*K126/12))</f>
        <v>58.16371633752243</v>
      </c>
      <c r="P131" s="242">
        <f t="shared" si="17"/>
        <v>58.16371633752243</v>
      </c>
      <c r="Q131" s="242">
        <f t="shared" si="17"/>
        <v>58.16371633752243</v>
      </c>
      <c r="R131" s="242">
        <f t="shared" si="17"/>
        <v>58.16371633752243</v>
      </c>
      <c r="S131" s="242">
        <f t="shared" si="17"/>
        <v>58.16371633752243</v>
      </c>
      <c r="T131" s="242">
        <f t="shared" si="18"/>
        <v>65.944440454817482</v>
      </c>
      <c r="U131" s="242">
        <f t="shared" si="17"/>
        <v>65.944440454817482</v>
      </c>
      <c r="V131" s="242">
        <f t="shared" si="17"/>
        <v>65.944440454817482</v>
      </c>
      <c r="W131" s="242">
        <f t="shared" si="17"/>
        <v>65.944440454817482</v>
      </c>
      <c r="X131" s="242">
        <f t="shared" si="17"/>
        <v>65.944440454817482</v>
      </c>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row>
    <row r="132" spans="1:59" ht="14.25" customHeight="1">
      <c r="A132" s="237">
        <v>41547</v>
      </c>
      <c r="B132" s="63" t="s">
        <v>40</v>
      </c>
      <c r="C132" s="232"/>
      <c r="D132" s="234"/>
      <c r="E132" s="234"/>
      <c r="F132" s="234"/>
      <c r="G132" s="234"/>
      <c r="H132" s="234"/>
      <c r="I132" s="234"/>
      <c r="J132" s="234"/>
      <c r="K132" s="234"/>
      <c r="L132" s="234">
        <f>$K113/12*L$126/K$23/2</f>
        <v>0</v>
      </c>
      <c r="M132" s="234">
        <f>$K113/12*M$126/L$23</f>
        <v>0</v>
      </c>
      <c r="N132" s="234">
        <f>$K113/12*N$126/M$23</f>
        <v>0</v>
      </c>
      <c r="O132" s="242">
        <f>($K113-SUM(L132:N132))/(N$23-(YEAR(N124)-YEAR(L124))-(0.5*L126/12))</f>
        <v>0</v>
      </c>
      <c r="P132" s="242">
        <f t="shared" si="17"/>
        <v>0</v>
      </c>
      <c r="Q132" s="242">
        <f t="shared" si="17"/>
        <v>0</v>
      </c>
      <c r="R132" s="242">
        <f t="shared" si="17"/>
        <v>0</v>
      </c>
      <c r="S132" s="242">
        <f t="shared" si="17"/>
        <v>0</v>
      </c>
      <c r="T132" s="242">
        <f t="shared" si="18"/>
        <v>0</v>
      </c>
      <c r="U132" s="242">
        <f t="shared" si="17"/>
        <v>0</v>
      </c>
      <c r="V132" s="242">
        <f t="shared" si="17"/>
        <v>0</v>
      </c>
      <c r="W132" s="242">
        <f t="shared" si="17"/>
        <v>0</v>
      </c>
      <c r="X132" s="242">
        <f t="shared" si="17"/>
        <v>0</v>
      </c>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row>
    <row r="133" spans="1:59" ht="14.25" customHeight="1">
      <c r="A133" s="237">
        <v>41912</v>
      </c>
      <c r="B133" s="63" t="s">
        <v>40</v>
      </c>
      <c r="C133" s="232"/>
      <c r="D133" s="234"/>
      <c r="E133" s="234"/>
      <c r="F133" s="234"/>
      <c r="G133" s="234"/>
      <c r="H133" s="234"/>
      <c r="I133" s="234"/>
      <c r="J133" s="234"/>
      <c r="K133" s="234"/>
      <c r="L133" s="234"/>
      <c r="M133" s="234">
        <f>$L113/12*M$126/L$23/2</f>
        <v>0</v>
      </c>
      <c r="N133" s="234">
        <f>$L113/12*N$126/M$23</f>
        <v>0</v>
      </c>
      <c r="O133" s="242">
        <f>($L113-SUM(M133:N133))/(N$23-(YEAR(N124)-YEAR(M124))-(0.5*M126/12))</f>
        <v>0</v>
      </c>
      <c r="P133" s="242">
        <f t="shared" si="17"/>
        <v>0</v>
      </c>
      <c r="Q133" s="242">
        <f t="shared" si="17"/>
        <v>0</v>
      </c>
      <c r="R133" s="242">
        <f t="shared" si="17"/>
        <v>0</v>
      </c>
      <c r="S133" s="242">
        <f t="shared" si="17"/>
        <v>0</v>
      </c>
      <c r="T133" s="242">
        <f t="shared" si="18"/>
        <v>0</v>
      </c>
      <c r="U133" s="242">
        <f t="shared" si="17"/>
        <v>0</v>
      </c>
      <c r="V133" s="242">
        <f t="shared" si="17"/>
        <v>0</v>
      </c>
      <c r="W133" s="242">
        <f t="shared" si="17"/>
        <v>0</v>
      </c>
      <c r="X133" s="242">
        <f t="shared" si="17"/>
        <v>0</v>
      </c>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row>
    <row r="134" spans="1:59" ht="14.25" customHeight="1">
      <c r="A134" s="237">
        <v>42277</v>
      </c>
      <c r="B134" s="63" t="s">
        <v>40</v>
      </c>
      <c r="C134" s="232"/>
      <c r="D134" s="234"/>
      <c r="E134" s="234"/>
      <c r="F134" s="234"/>
      <c r="G134" s="234"/>
      <c r="H134" s="234"/>
      <c r="I134" s="234"/>
      <c r="J134" s="234"/>
      <c r="K134" s="234"/>
      <c r="L134" s="234"/>
      <c r="M134" s="234"/>
      <c r="N134" s="234">
        <f>$M113/12*N$126/M$23/2</f>
        <v>0</v>
      </c>
      <c r="O134" s="242">
        <f>($M113-N134)/(N$23-(YEAR(N124)-YEAR(N124))-(0.5*N126/12))</f>
        <v>0</v>
      </c>
      <c r="P134" s="242">
        <f t="shared" si="17"/>
        <v>0</v>
      </c>
      <c r="Q134" s="242">
        <f t="shared" si="17"/>
        <v>0</v>
      </c>
      <c r="R134" s="242">
        <f t="shared" si="17"/>
        <v>0</v>
      </c>
      <c r="S134" s="242">
        <f t="shared" si="17"/>
        <v>0</v>
      </c>
      <c r="T134" s="242">
        <f t="shared" si="18"/>
        <v>0</v>
      </c>
      <c r="U134" s="242">
        <f t="shared" si="17"/>
        <v>0</v>
      </c>
      <c r="V134" s="242">
        <f t="shared" si="17"/>
        <v>0</v>
      </c>
      <c r="W134" s="242">
        <f t="shared" si="17"/>
        <v>0</v>
      </c>
      <c r="X134" s="242">
        <f t="shared" si="17"/>
        <v>0</v>
      </c>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row>
    <row r="135" spans="1:59" ht="14.25" customHeight="1">
      <c r="A135" s="237">
        <v>42643</v>
      </c>
      <c r="B135" s="63" t="s">
        <v>40</v>
      </c>
      <c r="C135" s="232"/>
      <c r="D135" s="242"/>
      <c r="E135" s="242"/>
      <c r="F135" s="242"/>
      <c r="G135" s="242"/>
      <c r="H135" s="242"/>
      <c r="I135" s="242"/>
      <c r="J135" s="242"/>
      <c r="K135" s="242"/>
      <c r="L135" s="242"/>
      <c r="M135" s="242"/>
      <c r="N135" s="242"/>
      <c r="O135" s="242">
        <f>$N116/12*O$126/N$23/2</f>
        <v>1.9172609028309104</v>
      </c>
      <c r="P135" s="242">
        <f>$N116/12*P$126/O$23</f>
        <v>3.8345218056618209</v>
      </c>
      <c r="Q135" s="242">
        <f>$N116/12*Q$126/P$23</f>
        <v>3.8345218056618209</v>
      </c>
      <c r="R135" s="242">
        <f>$N116/12*R$126/Q$23</f>
        <v>3.8345218056618209</v>
      </c>
      <c r="S135" s="242">
        <f>$N116/12*S$126/R$23</f>
        <v>3.8345218056618209</v>
      </c>
      <c r="T135" s="242">
        <f>$N116/12*T$126/S$23*$K$18</f>
        <v>4.3474765852098294</v>
      </c>
      <c r="U135" s="242">
        <f>T135</f>
        <v>4.3474765852098294</v>
      </c>
      <c r="V135" s="242">
        <f t="shared" si="17"/>
        <v>4.3474765852098294</v>
      </c>
      <c r="W135" s="242">
        <f t="shared" si="17"/>
        <v>4.3474765852098294</v>
      </c>
      <c r="X135" s="242">
        <f t="shared" si="17"/>
        <v>4.3474765852098294</v>
      </c>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row>
    <row r="136" spans="1:59" ht="14.25" customHeight="1">
      <c r="A136" s="237">
        <v>43008</v>
      </c>
      <c r="B136" s="63" t="s">
        <v>40</v>
      </c>
      <c r="C136" s="232"/>
      <c r="D136" s="242"/>
      <c r="E136" s="242"/>
      <c r="F136" s="242"/>
      <c r="G136" s="242"/>
      <c r="H136" s="242"/>
      <c r="I136" s="242"/>
      <c r="J136" s="242"/>
      <c r="K136" s="242"/>
      <c r="L136" s="242"/>
      <c r="M136" s="242"/>
      <c r="N136" s="242"/>
      <c r="O136" s="242"/>
      <c r="P136" s="242">
        <f>$O116/12*P$126/O$23/2</f>
        <v>0.24568366592756835</v>
      </c>
      <c r="Q136" s="242">
        <f>$O116/12*Q$126/P$23</f>
        <v>0.4913673318551367</v>
      </c>
      <c r="R136" s="242">
        <f>$O116/12*R$126/Q$23</f>
        <v>0.4913673318551367</v>
      </c>
      <c r="S136" s="242">
        <f>$O116/12*S$126/R$23</f>
        <v>0.4913673318551367</v>
      </c>
      <c r="T136" s="242">
        <f>$O116/12*T$126/S$23*$K$18</f>
        <v>0.55709892347542278</v>
      </c>
      <c r="U136" s="242">
        <f>T136</f>
        <v>0.55709892347542278</v>
      </c>
      <c r="V136" s="242">
        <f t="shared" si="17"/>
        <v>0.55709892347542278</v>
      </c>
      <c r="W136" s="242">
        <f t="shared" si="17"/>
        <v>0.55709892347542278</v>
      </c>
      <c r="X136" s="242">
        <f t="shared" si="17"/>
        <v>0.55709892347542278</v>
      </c>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row>
    <row r="137" spans="1:59" ht="14.25" customHeight="1">
      <c r="A137" s="237">
        <v>43373</v>
      </c>
      <c r="B137" s="63" t="s">
        <v>40</v>
      </c>
      <c r="C137" s="232"/>
      <c r="D137" s="242"/>
      <c r="E137" s="242"/>
      <c r="F137" s="242"/>
      <c r="G137" s="242"/>
      <c r="H137" s="242"/>
      <c r="I137" s="242"/>
      <c r="J137" s="242"/>
      <c r="K137" s="242"/>
      <c r="L137" s="242"/>
      <c r="M137" s="242"/>
      <c r="N137" s="242"/>
      <c r="O137" s="242"/>
      <c r="P137" s="242"/>
      <c r="Q137" s="242">
        <f>$P116/12*Q$126/P$23/2</f>
        <v>0.15541294243832676</v>
      </c>
      <c r="R137" s="242">
        <f>$P116/12*R$126/Q$23</f>
        <v>0.31082588487665352</v>
      </c>
      <c r="S137" s="242">
        <f>$P116/12*S$126/R$23</f>
        <v>0.31082588487665352</v>
      </c>
      <c r="T137" s="242">
        <f>$P116/12*T$126/S$23*$K$18</f>
        <v>0.35240593874915976</v>
      </c>
      <c r="U137" s="242">
        <f t="shared" ref="U137:X139" si="19">T137</f>
        <v>0.35240593874915976</v>
      </c>
      <c r="V137" s="242">
        <f t="shared" si="19"/>
        <v>0.35240593874915976</v>
      </c>
      <c r="W137" s="242">
        <f t="shared" si="19"/>
        <v>0.35240593874915976</v>
      </c>
      <c r="X137" s="242">
        <f t="shared" si="19"/>
        <v>0.35240593874915976</v>
      </c>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row>
    <row r="138" spans="1:59" ht="14.25" customHeight="1">
      <c r="A138" s="237">
        <v>43738</v>
      </c>
      <c r="B138" s="63" t="s">
        <v>40</v>
      </c>
      <c r="C138" s="232"/>
      <c r="D138" s="242"/>
      <c r="E138" s="242"/>
      <c r="F138" s="242"/>
      <c r="G138" s="242"/>
      <c r="H138" s="242"/>
      <c r="I138" s="242"/>
      <c r="J138" s="242"/>
      <c r="K138" s="242"/>
      <c r="L138" s="242"/>
      <c r="M138" s="242"/>
      <c r="N138" s="242"/>
      <c r="O138" s="242"/>
      <c r="P138" s="242"/>
      <c r="Q138" s="242"/>
      <c r="R138" s="242">
        <f>$Q116/12*R$126/Q$23/2</f>
        <v>0.34602012491325468</v>
      </c>
      <c r="S138" s="242">
        <f>$Q116/12*S$126/R$23</f>
        <v>0.69204024982650936</v>
      </c>
      <c r="T138" s="242">
        <f>$Q116/12*T$126/S$23*$K$18</f>
        <v>0.78461642275737031</v>
      </c>
      <c r="U138" s="242">
        <f t="shared" si="19"/>
        <v>0.78461642275737031</v>
      </c>
      <c r="V138" s="242">
        <f t="shared" ref="V138:X139" si="20">U138</f>
        <v>0.78461642275737031</v>
      </c>
      <c r="W138" s="242">
        <f t="shared" si="20"/>
        <v>0.78461642275737031</v>
      </c>
      <c r="X138" s="242">
        <f t="shared" si="20"/>
        <v>0.78461642275737031</v>
      </c>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row>
    <row r="139" spans="1:59" ht="14.25" customHeight="1">
      <c r="A139" s="237">
        <v>44104</v>
      </c>
      <c r="B139" s="63" t="s">
        <v>40</v>
      </c>
      <c r="C139" s="232"/>
      <c r="D139" s="242"/>
      <c r="E139" s="242"/>
      <c r="F139" s="242"/>
      <c r="G139" s="242"/>
      <c r="H139" s="242"/>
      <c r="I139" s="242"/>
      <c r="J139" s="242"/>
      <c r="K139" s="242"/>
      <c r="L139" s="242"/>
      <c r="M139" s="242"/>
      <c r="N139" s="242"/>
      <c r="O139" s="242"/>
      <c r="P139" s="242"/>
      <c r="Q139" s="242"/>
      <c r="R139" s="242"/>
      <c r="S139" s="242">
        <f>$R116/12*S$126/R$23/2</f>
        <v>0</v>
      </c>
      <c r="T139" s="242">
        <f>$R116/12*T$126/S$23*$K$18</f>
        <v>0</v>
      </c>
      <c r="U139" s="242">
        <f t="shared" si="19"/>
        <v>0</v>
      </c>
      <c r="V139" s="242">
        <f t="shared" si="20"/>
        <v>0</v>
      </c>
      <c r="W139" s="242">
        <f t="shared" si="20"/>
        <v>0</v>
      </c>
      <c r="X139" s="242">
        <f t="shared" si="20"/>
        <v>0</v>
      </c>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row>
    <row r="140" spans="1:59" ht="14.25" customHeight="1">
      <c r="A140" s="237">
        <v>44469</v>
      </c>
      <c r="B140" s="63" t="s">
        <v>40</v>
      </c>
      <c r="C140" s="232"/>
      <c r="D140" s="242"/>
      <c r="E140" s="242"/>
      <c r="F140" s="242"/>
      <c r="G140" s="242"/>
      <c r="H140" s="242"/>
      <c r="I140" s="242"/>
      <c r="J140" s="242"/>
      <c r="K140" s="242"/>
      <c r="L140" s="242"/>
      <c r="M140" s="242"/>
      <c r="N140" s="242"/>
      <c r="O140" s="242"/>
      <c r="P140" s="242"/>
      <c r="Q140" s="242"/>
      <c r="R140" s="242"/>
      <c r="S140" s="242"/>
      <c r="T140" s="242">
        <f>$S120/12*T$126/S$23/2</f>
        <v>0.95</v>
      </c>
      <c r="U140" s="242">
        <f>$S120/12*U$126/T$23</f>
        <v>1.9</v>
      </c>
      <c r="V140" s="242">
        <f>$S120/12*V$126/U$23</f>
        <v>1.9</v>
      </c>
      <c r="W140" s="242">
        <f>$S120/12*W$126/V$23</f>
        <v>1.9</v>
      </c>
      <c r="X140" s="242">
        <f>$S120/12*X$126/W$23</f>
        <v>1.9</v>
      </c>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row>
    <row r="141" spans="1:59" ht="14.25" customHeight="1">
      <c r="A141" s="237">
        <v>44834</v>
      </c>
      <c r="B141" s="63" t="s">
        <v>40</v>
      </c>
      <c r="C141" s="232"/>
      <c r="D141" s="242"/>
      <c r="E141" s="242"/>
      <c r="F141" s="242"/>
      <c r="G141" s="242"/>
      <c r="H141" s="242"/>
      <c r="I141" s="242"/>
      <c r="J141" s="242"/>
      <c r="K141" s="242"/>
      <c r="L141" s="242"/>
      <c r="M141" s="242"/>
      <c r="N141" s="242"/>
      <c r="O141" s="242"/>
      <c r="P141" s="242"/>
      <c r="Q141" s="242"/>
      <c r="R141" s="242"/>
      <c r="S141" s="242"/>
      <c r="T141" s="242"/>
      <c r="U141" s="242">
        <f>$T120/12*U$126/T$23/2</f>
        <v>0.95</v>
      </c>
      <c r="V141" s="242">
        <f>$T120/12*V$126/U$23</f>
        <v>1.9</v>
      </c>
      <c r="W141" s="242">
        <f>$T120/12*W$126/V$23</f>
        <v>1.9</v>
      </c>
      <c r="X141" s="242">
        <f>$T120/12*X$126/W$23</f>
        <v>1.9</v>
      </c>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row>
    <row r="142" spans="1:59" ht="14.25" customHeight="1">
      <c r="A142" s="237">
        <v>45199</v>
      </c>
      <c r="B142" s="63" t="s">
        <v>40</v>
      </c>
      <c r="C142" s="232"/>
      <c r="D142" s="242"/>
      <c r="E142" s="242"/>
      <c r="F142" s="242"/>
      <c r="G142" s="242"/>
      <c r="H142" s="242"/>
      <c r="I142" s="242"/>
      <c r="J142" s="242"/>
      <c r="K142" s="242"/>
      <c r="L142" s="242"/>
      <c r="M142" s="242"/>
      <c r="N142" s="242"/>
      <c r="O142" s="242"/>
      <c r="P142" s="242"/>
      <c r="Q142" s="242"/>
      <c r="R142" s="242"/>
      <c r="S142" s="242"/>
      <c r="T142" s="242"/>
      <c r="U142" s="242"/>
      <c r="V142" s="242">
        <f>$U120/12*V$126/U$23/2</f>
        <v>0.2</v>
      </c>
      <c r="W142" s="242">
        <f>$U120/12*W$126/V$23</f>
        <v>0.4</v>
      </c>
      <c r="X142" s="242">
        <f>$U120/12*X$126/W$23</f>
        <v>0.4</v>
      </c>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row>
    <row r="143" spans="1:59" ht="14.25" customHeight="1">
      <c r="A143" s="237">
        <v>45565</v>
      </c>
      <c r="B143" s="63" t="s">
        <v>40</v>
      </c>
      <c r="C143" s="232"/>
      <c r="D143" s="242"/>
      <c r="E143" s="242"/>
      <c r="F143" s="242"/>
      <c r="G143" s="242"/>
      <c r="H143" s="242"/>
      <c r="I143" s="242"/>
      <c r="J143" s="242"/>
      <c r="K143" s="242"/>
      <c r="L143" s="242"/>
      <c r="M143" s="242"/>
      <c r="N143" s="242"/>
      <c r="O143" s="242"/>
      <c r="P143" s="242"/>
      <c r="Q143" s="242"/>
      <c r="R143" s="242"/>
      <c r="S143" s="242"/>
      <c r="T143" s="242"/>
      <c r="U143" s="242"/>
      <c r="V143" s="242"/>
      <c r="W143" s="242">
        <f>$V120/12*W$126/V$23/2</f>
        <v>0.2</v>
      </c>
      <c r="X143" s="242">
        <f>$V120/12*X$126/W$23</f>
        <v>0.4</v>
      </c>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row>
    <row r="144" spans="1:59" ht="14.25" customHeight="1">
      <c r="A144" s="237">
        <v>45930</v>
      </c>
      <c r="B144" s="63" t="s">
        <v>40</v>
      </c>
      <c r="C144" s="232"/>
      <c r="D144" s="242"/>
      <c r="E144" s="242"/>
      <c r="F144" s="242"/>
      <c r="G144" s="242"/>
      <c r="H144" s="242"/>
      <c r="I144" s="242"/>
      <c r="J144" s="242"/>
      <c r="K144" s="242"/>
      <c r="L144" s="242"/>
      <c r="M144" s="242"/>
      <c r="N144" s="242"/>
      <c r="O144" s="242"/>
      <c r="P144" s="242"/>
      <c r="Q144" s="242"/>
      <c r="R144" s="242"/>
      <c r="S144" s="242"/>
      <c r="T144" s="242"/>
      <c r="U144" s="242"/>
      <c r="V144" s="242"/>
      <c r="W144" s="242"/>
      <c r="X144" s="242">
        <f>$W120/12*X$126/W$23/2</f>
        <v>0.2</v>
      </c>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row>
    <row r="145" spans="1:18" ht="14.25" customHeight="1">
      <c r="D145" s="232"/>
      <c r="E145" s="232"/>
      <c r="F145" s="232"/>
      <c r="G145" s="232"/>
      <c r="H145" s="232"/>
      <c r="I145" s="232"/>
      <c r="J145" s="232"/>
      <c r="K145" s="232"/>
      <c r="L145" s="232"/>
      <c r="M145" s="232"/>
      <c r="N145" s="232"/>
      <c r="O145" s="232"/>
      <c r="P145" s="232"/>
      <c r="Q145" s="232"/>
      <c r="R145" s="232"/>
    </row>
    <row r="146" spans="1:18" ht="14.25" customHeight="1">
      <c r="B146" s="390"/>
      <c r="C146" s="391" t="s">
        <v>281</v>
      </c>
      <c r="D146" s="397">
        <v>39538</v>
      </c>
      <c r="E146" s="397">
        <v>39721</v>
      </c>
      <c r="F146" s="397">
        <v>40086</v>
      </c>
      <c r="G146" s="397">
        <v>40268</v>
      </c>
      <c r="H146" s="397">
        <v>40451</v>
      </c>
      <c r="I146" s="397">
        <v>40816</v>
      </c>
      <c r="J146" s="397">
        <v>41182</v>
      </c>
      <c r="K146" s="397">
        <v>41547</v>
      </c>
      <c r="L146" s="397">
        <v>41912</v>
      </c>
      <c r="M146" s="397">
        <v>42277</v>
      </c>
      <c r="N146" s="397">
        <v>42643</v>
      </c>
      <c r="O146" s="397">
        <v>43008</v>
      </c>
      <c r="P146" s="397">
        <v>43373</v>
      </c>
      <c r="Q146" s="397">
        <v>43738</v>
      </c>
      <c r="R146" s="397">
        <v>44104</v>
      </c>
    </row>
    <row r="147" spans="1:18" ht="14.25" customHeight="1">
      <c r="B147" s="390"/>
      <c r="C147" s="389" t="s">
        <v>11</v>
      </c>
      <c r="D147" s="397"/>
      <c r="E147" s="397"/>
      <c r="F147" s="397"/>
      <c r="G147" s="397"/>
      <c r="H147" s="397"/>
      <c r="I147" s="397"/>
      <c r="J147" s="397"/>
      <c r="K147" s="397"/>
      <c r="L147" s="397"/>
      <c r="M147" s="397"/>
      <c r="N147" s="397"/>
      <c r="O147" s="397"/>
      <c r="P147" s="397"/>
      <c r="Q147" s="397"/>
      <c r="R147" s="397"/>
    </row>
    <row r="148" spans="1:18" ht="14.25" customHeight="1">
      <c r="A148" s="65" t="s">
        <v>261</v>
      </c>
      <c r="B148" s="259" t="s">
        <v>40</v>
      </c>
      <c r="C148" s="232" t="s">
        <v>217</v>
      </c>
      <c r="D148" s="234"/>
      <c r="E148" s="234"/>
      <c r="F148" s="234"/>
      <c r="G148" s="234"/>
      <c r="H148" s="234">
        <f t="shared" ref="H148:R148" si="21">SUM(I129:I139)</f>
        <v>0</v>
      </c>
      <c r="I148" s="234">
        <f t="shared" si="21"/>
        <v>29.081858168761219</v>
      </c>
      <c r="J148" s="234">
        <f t="shared" si="21"/>
        <v>87.24557450628366</v>
      </c>
      <c r="K148" s="234">
        <f t="shared" si="21"/>
        <v>116.32743267504488</v>
      </c>
      <c r="L148" s="234">
        <f t="shared" si="21"/>
        <v>116.32743267504488</v>
      </c>
      <c r="M148" s="234">
        <f t="shared" si="21"/>
        <v>116.32743267504488</v>
      </c>
      <c r="N148" s="234">
        <f t="shared" si="21"/>
        <v>118.24469357787576</v>
      </c>
      <c r="O148" s="234">
        <f t="shared" si="21"/>
        <v>120.40763814663426</v>
      </c>
      <c r="P148" s="234">
        <f t="shared" si="21"/>
        <v>120.80873475500015</v>
      </c>
      <c r="Q148" s="234">
        <f t="shared" si="21"/>
        <v>121.31016782235172</v>
      </c>
      <c r="R148" s="234">
        <f t="shared" si="21"/>
        <v>121.65618794726497</v>
      </c>
    </row>
    <row r="149" spans="1:18" ht="14.25" customHeight="1"/>
    <row r="150" spans="1:18" ht="14.25" customHeight="1"/>
    <row r="151" spans="1:18" ht="14.25" customHeight="1">
      <c r="A151" s="65" t="s">
        <v>300</v>
      </c>
      <c r="B151" s="389" t="s">
        <v>10</v>
      </c>
      <c r="C151" s="391" t="s">
        <v>281</v>
      </c>
      <c r="D151" s="397">
        <v>44469</v>
      </c>
      <c r="E151" s="397">
        <v>44834</v>
      </c>
      <c r="F151" s="397">
        <v>45199</v>
      </c>
      <c r="G151" s="397">
        <v>45565</v>
      </c>
      <c r="H151" s="397">
        <v>45930</v>
      </c>
    </row>
    <row r="152" spans="1:18" ht="14.25" customHeight="1">
      <c r="A152" s="65"/>
      <c r="B152" s="389"/>
      <c r="C152" s="389" t="s">
        <v>11</v>
      </c>
      <c r="D152" s="397"/>
      <c r="E152" s="397"/>
      <c r="F152" s="397"/>
      <c r="G152" s="397"/>
      <c r="H152" s="397"/>
    </row>
    <row r="153" spans="1:18" ht="14.25" customHeight="1">
      <c r="A153" s="63" t="s">
        <v>283</v>
      </c>
      <c r="B153" s="259" t="s">
        <v>40</v>
      </c>
      <c r="C153" s="232" t="s">
        <v>53</v>
      </c>
      <c r="D153" s="234">
        <f>SUM(T129:T139)</f>
        <v>137.93047877982676</v>
      </c>
      <c r="E153" s="234">
        <f>SUM(U129:U139)</f>
        <v>137.93047877982676</v>
      </c>
      <c r="F153" s="234">
        <f>SUM(V129:V139)</f>
        <v>137.93047877982676</v>
      </c>
      <c r="G153" s="234">
        <f>SUM(W129:W139)</f>
        <v>137.93047877982676</v>
      </c>
      <c r="H153" s="234">
        <f>SUM(X129:X139)</f>
        <v>137.93047877982676</v>
      </c>
    </row>
    <row r="154" spans="1:18" ht="14.25" customHeight="1">
      <c r="A154" s="63" t="s">
        <v>284</v>
      </c>
      <c r="B154" s="259" t="s">
        <v>40</v>
      </c>
      <c r="C154" s="232" t="s">
        <v>53</v>
      </c>
      <c r="D154" s="234">
        <f>SUM(T140:T144)</f>
        <v>0.95</v>
      </c>
      <c r="E154" s="234">
        <f>SUM(U140:U144)</f>
        <v>2.8499999999999996</v>
      </c>
      <c r="F154" s="234">
        <f>SUM(V140:V144)</f>
        <v>4</v>
      </c>
      <c r="G154" s="234">
        <f>SUM(W140:W144)</f>
        <v>4.4000000000000004</v>
      </c>
      <c r="H154" s="234">
        <f>SUM(X140:X144)</f>
        <v>4.8000000000000007</v>
      </c>
    </row>
    <row r="155" spans="1:18" ht="14.25" customHeight="1">
      <c r="A155" s="65" t="s">
        <v>301</v>
      </c>
      <c r="B155" s="259" t="s">
        <v>40</v>
      </c>
      <c r="C155" s="232" t="s">
        <v>53</v>
      </c>
      <c r="D155" s="234">
        <f>D153+D154</f>
        <v>138.88047877982675</v>
      </c>
      <c r="E155" s="234">
        <f t="shared" ref="E155:H155" si="22">E153+E154</f>
        <v>140.78047877982675</v>
      </c>
      <c r="F155" s="234">
        <f t="shared" si="22"/>
        <v>141.93047877982676</v>
      </c>
      <c r="G155" s="234">
        <f t="shared" si="22"/>
        <v>142.33047877982676</v>
      </c>
      <c r="H155" s="234">
        <f t="shared" si="22"/>
        <v>142.73047877982677</v>
      </c>
    </row>
    <row r="156" spans="1:18" ht="14.25" customHeight="1">
      <c r="A156" s="65"/>
      <c r="B156" s="259"/>
      <c r="C156" s="232"/>
      <c r="D156" s="234"/>
      <c r="E156" s="234"/>
      <c r="F156" s="234"/>
      <c r="G156" s="234"/>
      <c r="H156" s="234"/>
    </row>
    <row r="157" spans="1:18" ht="14.25" customHeight="1"/>
    <row r="158" spans="1:18" ht="18" customHeight="1">
      <c r="A158" s="256" t="s">
        <v>302</v>
      </c>
      <c r="B158" s="257"/>
    </row>
    <row r="159" spans="1:18">
      <c r="A159" s="65"/>
      <c r="B159" s="390"/>
      <c r="C159" s="391" t="s">
        <v>281</v>
      </c>
      <c r="D159" s="397">
        <v>39538</v>
      </c>
      <c r="E159" s="397">
        <v>39721</v>
      </c>
      <c r="F159" s="397">
        <v>40086</v>
      </c>
      <c r="G159" s="397">
        <v>40268</v>
      </c>
      <c r="H159" s="397">
        <v>40451</v>
      </c>
      <c r="I159" s="397">
        <v>40816</v>
      </c>
      <c r="J159" s="397">
        <v>41182</v>
      </c>
      <c r="K159" s="397">
        <v>41547</v>
      </c>
      <c r="L159" s="397">
        <v>41912</v>
      </c>
      <c r="M159" s="397">
        <v>42277</v>
      </c>
      <c r="N159" s="397">
        <v>42643</v>
      </c>
      <c r="O159" s="397">
        <v>43008</v>
      </c>
      <c r="P159" s="397">
        <v>43373</v>
      </c>
      <c r="Q159" s="397">
        <v>43738</v>
      </c>
      <c r="R159" s="397">
        <v>44104</v>
      </c>
    </row>
    <row r="160" spans="1:18">
      <c r="A160" s="65"/>
      <c r="B160" s="389" t="s">
        <v>10</v>
      </c>
      <c r="C160" s="389" t="s">
        <v>11</v>
      </c>
      <c r="D160" s="397"/>
      <c r="E160" s="397"/>
      <c r="F160" s="397"/>
      <c r="G160" s="397"/>
      <c r="H160" s="397"/>
      <c r="I160" s="397"/>
      <c r="J160" s="397"/>
      <c r="K160" s="397"/>
      <c r="L160" s="397"/>
      <c r="M160" s="397"/>
      <c r="N160" s="397"/>
      <c r="O160" s="397"/>
      <c r="P160" s="397"/>
      <c r="Q160" s="397"/>
      <c r="R160" s="397"/>
    </row>
    <row r="161" spans="1:18">
      <c r="A161" s="63" t="s">
        <v>39</v>
      </c>
      <c r="B161" s="259" t="s">
        <v>40</v>
      </c>
      <c r="C161" s="232" t="s">
        <v>217</v>
      </c>
      <c r="D161" s="234"/>
      <c r="E161" s="234"/>
      <c r="F161" s="234"/>
      <c r="G161" s="234"/>
      <c r="H161" s="234"/>
      <c r="I161" s="234"/>
      <c r="J161" s="234"/>
      <c r="K161" s="234"/>
      <c r="L161" s="234"/>
      <c r="M161" s="234"/>
      <c r="N161" s="234"/>
      <c r="O161" s="234"/>
      <c r="P161" s="234"/>
      <c r="Q161" s="234">
        <f>'RAB inputs'!G39</f>
        <v>1700</v>
      </c>
      <c r="R161" s="234">
        <f>Q163</f>
        <v>850</v>
      </c>
    </row>
    <row r="162" spans="1:18">
      <c r="A162" s="63" t="s">
        <v>60</v>
      </c>
      <c r="B162" s="259" t="s">
        <v>40</v>
      </c>
      <c r="C162" s="232" t="s">
        <v>217</v>
      </c>
      <c r="D162" s="234"/>
      <c r="E162" s="234"/>
      <c r="F162" s="234"/>
      <c r="G162" s="234"/>
      <c r="H162" s="234"/>
      <c r="I162" s="234"/>
      <c r="J162" s="234"/>
      <c r="K162" s="234"/>
      <c r="L162" s="234"/>
      <c r="M162" s="234"/>
      <c r="N162" s="234"/>
      <c r="O162" s="234"/>
      <c r="P162" s="234"/>
      <c r="Q162" s="234">
        <f>'RAB inputs'!G40</f>
        <v>850</v>
      </c>
      <c r="R162" s="234">
        <f>'RAB inputs'!H40</f>
        <v>850</v>
      </c>
    </row>
    <row r="163" spans="1:18">
      <c r="A163" s="63" t="s">
        <v>45</v>
      </c>
      <c r="B163" s="259" t="s">
        <v>40</v>
      </c>
      <c r="C163" s="232" t="s">
        <v>217</v>
      </c>
      <c r="D163" s="234"/>
      <c r="E163" s="234"/>
      <c r="F163" s="234"/>
      <c r="G163" s="234"/>
      <c r="H163" s="234"/>
      <c r="I163" s="234"/>
      <c r="J163" s="234"/>
      <c r="K163" s="234"/>
      <c r="L163" s="234"/>
      <c r="M163" s="234"/>
      <c r="N163" s="234"/>
      <c r="O163" s="234"/>
      <c r="P163" s="234"/>
      <c r="Q163" s="234">
        <f>Q161-Q162</f>
        <v>850</v>
      </c>
      <c r="R163" s="234">
        <f>R161-R162</f>
        <v>0</v>
      </c>
    </row>
    <row r="164" spans="1:18">
      <c r="A164" s="63" t="s">
        <v>46</v>
      </c>
      <c r="B164" s="259" t="s">
        <v>40</v>
      </c>
      <c r="C164" s="232" t="s">
        <v>217</v>
      </c>
      <c r="D164" s="234"/>
      <c r="E164" s="234"/>
      <c r="F164" s="234"/>
      <c r="G164" s="234"/>
      <c r="H164" s="234"/>
      <c r="I164" s="234"/>
      <c r="J164" s="234"/>
      <c r="K164" s="234"/>
      <c r="L164" s="234"/>
      <c r="M164" s="234"/>
      <c r="N164" s="234"/>
      <c r="O164" s="234"/>
      <c r="P164" s="234"/>
      <c r="Q164" s="234">
        <f>(Q161+Q163)/2</f>
        <v>1275</v>
      </c>
      <c r="R164" s="234">
        <f>(R161+R163)/2</f>
        <v>425</v>
      </c>
    </row>
    <row r="167" spans="1:18" ht="18">
      <c r="A167" s="256" t="s">
        <v>262</v>
      </c>
      <c r="B167" s="257"/>
    </row>
    <row r="168" spans="1:18">
      <c r="B168" s="390"/>
      <c r="C168" s="391" t="s">
        <v>281</v>
      </c>
      <c r="D168" s="397">
        <v>39538</v>
      </c>
      <c r="E168" s="397">
        <v>39721</v>
      </c>
      <c r="F168" s="397">
        <v>40086</v>
      </c>
      <c r="G168" s="397">
        <v>40268</v>
      </c>
      <c r="H168" s="397">
        <v>40451</v>
      </c>
      <c r="I168" s="397">
        <v>40816</v>
      </c>
      <c r="J168" s="397">
        <v>41182</v>
      </c>
      <c r="K168" s="397">
        <v>41547</v>
      </c>
      <c r="L168" s="397">
        <v>41912</v>
      </c>
      <c r="M168" s="397">
        <v>42277</v>
      </c>
      <c r="N168" s="397">
        <v>42643</v>
      </c>
      <c r="O168" s="397">
        <v>43008</v>
      </c>
      <c r="P168" s="397">
        <v>43373</v>
      </c>
      <c r="Q168" s="397">
        <v>43738</v>
      </c>
      <c r="R168" s="397">
        <v>44104</v>
      </c>
    </row>
    <row r="169" spans="1:18">
      <c r="A169" s="65" t="s">
        <v>329</v>
      </c>
      <c r="B169" s="389" t="s">
        <v>10</v>
      </c>
      <c r="C169" s="389" t="s">
        <v>11</v>
      </c>
      <c r="D169" s="397"/>
      <c r="E169" s="397"/>
      <c r="F169" s="397"/>
      <c r="G169" s="397"/>
      <c r="H169" s="397"/>
      <c r="I169" s="397"/>
      <c r="J169" s="397"/>
      <c r="K169" s="397"/>
      <c r="L169" s="397"/>
      <c r="M169" s="397"/>
      <c r="N169" s="397"/>
      <c r="O169" s="397"/>
      <c r="P169" s="397"/>
      <c r="Q169" s="397"/>
      <c r="R169" s="397"/>
    </row>
    <row r="170" spans="1:18">
      <c r="A170" s="63" t="s">
        <v>39</v>
      </c>
      <c r="B170" s="259" t="s">
        <v>40</v>
      </c>
      <c r="C170" s="232" t="s">
        <v>217</v>
      </c>
      <c r="D170" s="234">
        <f>'RAB inputs'!D5</f>
        <v>16552.87475049901</v>
      </c>
      <c r="E170" s="234">
        <f t="shared" ref="E170:M170" si="23">D174</f>
        <v>17894.307474871937</v>
      </c>
      <c r="F170" s="234">
        <f t="shared" si="23"/>
        <v>18160.370710177893</v>
      </c>
      <c r="G170" s="234">
        <f t="shared" si="23"/>
        <v>19514.847844406802</v>
      </c>
      <c r="H170" s="234">
        <f t="shared" si="23"/>
        <v>21284.341637978705</v>
      </c>
      <c r="I170" s="234">
        <f t="shared" si="23"/>
        <v>20635.531193930885</v>
      </c>
      <c r="J170" s="234">
        <f t="shared" si="23"/>
        <v>18126.835687343329</v>
      </c>
      <c r="K170" s="234">
        <f t="shared" si="23"/>
        <v>15821.779178736026</v>
      </c>
      <c r="L170" s="234">
        <f t="shared" si="23"/>
        <v>12329.246935164629</v>
      </c>
      <c r="M170" s="234">
        <f t="shared" si="23"/>
        <v>10028.13552866684</v>
      </c>
      <c r="N170" s="234">
        <f>H170+SUM(H171:M171)-SUM(H101:M101)</f>
        <v>6430.8787563701262</v>
      </c>
      <c r="O170" s="234">
        <f>N174</f>
        <v>3617.8673989805111</v>
      </c>
      <c r="P170" s="234">
        <f>O174</f>
        <v>2945.1322879788631</v>
      </c>
      <c r="Q170" s="234">
        <f>P174</f>
        <v>2436.1198890162023</v>
      </c>
      <c r="R170" s="234">
        <f>Q174</f>
        <v>2462.6460007085125</v>
      </c>
    </row>
    <row r="171" spans="1:18">
      <c r="A171" s="63" t="s">
        <v>84</v>
      </c>
      <c r="B171" s="259" t="s">
        <v>40</v>
      </c>
      <c r="C171" s="232" t="s">
        <v>217</v>
      </c>
      <c r="D171" s="234">
        <f t="shared" ref="D171:R171" si="24">SUM(D55:D57)</f>
        <v>2116.7832446290081</v>
      </c>
      <c r="E171" s="234">
        <f t="shared" si="24"/>
        <v>1262.6801421709006</v>
      </c>
      <c r="F171" s="234">
        <f t="shared" si="24"/>
        <v>3654.6519071999674</v>
      </c>
      <c r="G171" s="234">
        <f t="shared" si="24"/>
        <v>3035.1734247186259</v>
      </c>
      <c r="H171" s="234">
        <f t="shared" si="24"/>
        <v>1047.8191202872531</v>
      </c>
      <c r="I171" s="234">
        <f t="shared" si="24"/>
        <v>1013.3891382405744</v>
      </c>
      <c r="J171" s="234">
        <f t="shared" si="24"/>
        <v>1365.722621184919</v>
      </c>
      <c r="K171" s="234">
        <f t="shared" si="24"/>
        <v>281.17818671454216</v>
      </c>
      <c r="L171" s="234">
        <f t="shared" si="24"/>
        <v>1589.5175044883301</v>
      </c>
      <c r="M171" s="234">
        <f t="shared" si="24"/>
        <v>418.89811490125669</v>
      </c>
      <c r="N171" s="234">
        <f t="shared" si="24"/>
        <v>0</v>
      </c>
      <c r="O171" s="234">
        <f t="shared" si="24"/>
        <v>0</v>
      </c>
      <c r="P171" s="234">
        <f t="shared" si="24"/>
        <v>0</v>
      </c>
      <c r="Q171" s="234">
        <f t="shared" si="24"/>
        <v>0</v>
      </c>
      <c r="R171" s="234">
        <f t="shared" si="24"/>
        <v>0</v>
      </c>
    </row>
    <row r="172" spans="1:18">
      <c r="A172" s="63" t="s">
        <v>259</v>
      </c>
      <c r="B172" s="259" t="s">
        <v>40</v>
      </c>
      <c r="C172" s="232" t="s">
        <v>217</v>
      </c>
      <c r="D172" s="234"/>
      <c r="E172" s="234"/>
      <c r="F172" s="234"/>
      <c r="G172" s="234"/>
      <c r="H172" s="234"/>
      <c r="I172" s="234"/>
      <c r="J172" s="234"/>
      <c r="K172" s="234"/>
      <c r="L172" s="234"/>
      <c r="M172" s="234"/>
      <c r="N172" s="234">
        <f>N63</f>
        <v>1161.5558530986993</v>
      </c>
      <c r="O172" s="234">
        <f>O63</f>
        <v>1011.59859571323</v>
      </c>
      <c r="P172" s="234">
        <f>P63</f>
        <v>714.96585627457989</v>
      </c>
      <c r="Q172" s="234">
        <f>Q63</f>
        <v>1144.9293199167246</v>
      </c>
      <c r="R172" s="234">
        <f>R63</f>
        <v>1445.7902315447709</v>
      </c>
    </row>
    <row r="173" spans="1:18">
      <c r="A173" s="63" t="s">
        <v>263</v>
      </c>
      <c r="B173" s="259" t="s">
        <v>40</v>
      </c>
      <c r="C173" s="232" t="s">
        <v>217</v>
      </c>
      <c r="D173" s="234">
        <f t="shared" ref="D173:M173" si="25">D101</f>
        <v>775.35052025608229</v>
      </c>
      <c r="E173" s="234">
        <f t="shared" si="25"/>
        <v>996.61690686494535</v>
      </c>
      <c r="F173" s="234">
        <f t="shared" si="25"/>
        <v>2300.1747729710587</v>
      </c>
      <c r="G173" s="234">
        <f t="shared" si="25"/>
        <v>1265.6796311467238</v>
      </c>
      <c r="H173" s="234">
        <f t="shared" si="25"/>
        <v>1696.6295643350707</v>
      </c>
      <c r="I173" s="234">
        <f t="shared" si="25"/>
        <v>3522.08464482813</v>
      </c>
      <c r="J173" s="234">
        <f t="shared" si="25"/>
        <v>3670.7791297922236</v>
      </c>
      <c r="K173" s="234">
        <f t="shared" si="25"/>
        <v>3773.7104302859398</v>
      </c>
      <c r="L173" s="234">
        <f t="shared" si="25"/>
        <v>3890.6289109861195</v>
      </c>
      <c r="M173" s="234">
        <f t="shared" si="25"/>
        <v>4016.1548871979685</v>
      </c>
      <c r="N173" s="234">
        <f>N101</f>
        <v>3974.5672104883142</v>
      </c>
      <c r="O173" s="234">
        <f>O101</f>
        <v>1684.3337067148777</v>
      </c>
      <c r="P173" s="234">
        <f>P101</f>
        <v>1223.9782552372408</v>
      </c>
      <c r="Q173" s="234">
        <f>Q101</f>
        <v>1118.4032082244141</v>
      </c>
      <c r="R173" s="234">
        <f>R101</f>
        <v>1028.6564077601511</v>
      </c>
    </row>
    <row r="174" spans="1:18">
      <c r="A174" s="63" t="s">
        <v>45</v>
      </c>
      <c r="B174" s="259" t="s">
        <v>40</v>
      </c>
      <c r="C174" s="232" t="s">
        <v>217</v>
      </c>
      <c r="D174" s="234">
        <f>D170+D171+D172-D173</f>
        <v>17894.307474871937</v>
      </c>
      <c r="E174" s="234">
        <f t="shared" ref="E174:R174" si="26">E170+E171+E172-E173</f>
        <v>18160.370710177893</v>
      </c>
      <c r="F174" s="234">
        <f t="shared" si="26"/>
        <v>19514.847844406802</v>
      </c>
      <c r="G174" s="234">
        <f t="shared" si="26"/>
        <v>21284.341637978705</v>
      </c>
      <c r="H174" s="234">
        <f t="shared" si="26"/>
        <v>20635.531193930885</v>
      </c>
      <c r="I174" s="234">
        <f t="shared" si="26"/>
        <v>18126.835687343329</v>
      </c>
      <c r="J174" s="234">
        <f t="shared" si="26"/>
        <v>15821.779178736026</v>
      </c>
      <c r="K174" s="234">
        <f t="shared" si="26"/>
        <v>12329.246935164629</v>
      </c>
      <c r="L174" s="234">
        <f t="shared" si="26"/>
        <v>10028.13552866684</v>
      </c>
      <c r="M174" s="234">
        <f t="shared" si="26"/>
        <v>6430.878756370128</v>
      </c>
      <c r="N174" s="234">
        <f t="shared" si="26"/>
        <v>3617.8673989805111</v>
      </c>
      <c r="O174" s="234">
        <f t="shared" si="26"/>
        <v>2945.1322879788631</v>
      </c>
      <c r="P174" s="234">
        <f t="shared" si="26"/>
        <v>2436.1198890162023</v>
      </c>
      <c r="Q174" s="234">
        <f t="shared" si="26"/>
        <v>2462.6460007085125</v>
      </c>
      <c r="R174" s="234">
        <f t="shared" si="26"/>
        <v>2879.7798244931323</v>
      </c>
    </row>
    <row r="175" spans="1:18">
      <c r="A175" s="63" t="s">
        <v>46</v>
      </c>
      <c r="B175" s="259" t="s">
        <v>40</v>
      </c>
      <c r="C175" s="232" t="s">
        <v>217</v>
      </c>
      <c r="D175" s="234">
        <f t="shared" ref="D175:R175" si="27">(D170+D174)/2</f>
        <v>17223.591112685473</v>
      </c>
      <c r="E175" s="234">
        <f t="shared" si="27"/>
        <v>18027.339092524915</v>
      </c>
      <c r="F175" s="234">
        <f t="shared" si="27"/>
        <v>18837.609277292348</v>
      </c>
      <c r="G175" s="234">
        <f t="shared" si="27"/>
        <v>20399.594741192755</v>
      </c>
      <c r="H175" s="234">
        <f t="shared" si="27"/>
        <v>20959.936415954795</v>
      </c>
      <c r="I175" s="234">
        <f t="shared" si="27"/>
        <v>19381.183440637105</v>
      </c>
      <c r="J175" s="234">
        <f t="shared" si="27"/>
        <v>16974.307433039678</v>
      </c>
      <c r="K175" s="234">
        <f t="shared" si="27"/>
        <v>14075.513056950327</v>
      </c>
      <c r="L175" s="234">
        <f t="shared" si="27"/>
        <v>11178.691231915735</v>
      </c>
      <c r="M175" s="234">
        <f t="shared" si="27"/>
        <v>8229.5071425184833</v>
      </c>
      <c r="N175" s="234">
        <f t="shared" si="27"/>
        <v>5024.3730776753182</v>
      </c>
      <c r="O175" s="234">
        <f t="shared" si="27"/>
        <v>3281.4998434796871</v>
      </c>
      <c r="P175" s="234">
        <f t="shared" si="27"/>
        <v>2690.6260884975327</v>
      </c>
      <c r="Q175" s="234">
        <f t="shared" si="27"/>
        <v>2449.3829448623574</v>
      </c>
      <c r="R175" s="234">
        <f t="shared" si="27"/>
        <v>2671.2129126008222</v>
      </c>
    </row>
    <row r="177" spans="1:18">
      <c r="B177" s="390"/>
      <c r="C177" s="391" t="s">
        <v>281</v>
      </c>
      <c r="D177" s="397">
        <v>39538</v>
      </c>
      <c r="E177" s="397">
        <v>39721</v>
      </c>
      <c r="F177" s="397">
        <v>40086</v>
      </c>
      <c r="G177" s="397">
        <v>40268</v>
      </c>
      <c r="H177" s="397">
        <v>40451</v>
      </c>
      <c r="I177" s="397">
        <v>40816</v>
      </c>
      <c r="J177" s="397">
        <v>41182</v>
      </c>
      <c r="K177" s="397">
        <v>41547</v>
      </c>
      <c r="L177" s="397">
        <v>41912</v>
      </c>
      <c r="M177" s="397">
        <v>42277</v>
      </c>
      <c r="N177" s="397">
        <v>42643</v>
      </c>
      <c r="O177" s="397">
        <v>43008</v>
      </c>
      <c r="P177" s="397">
        <v>43373</v>
      </c>
      <c r="Q177" s="397">
        <v>43738</v>
      </c>
      <c r="R177" s="397">
        <v>44104</v>
      </c>
    </row>
    <row r="178" spans="1:18">
      <c r="A178" s="65" t="s">
        <v>330</v>
      </c>
      <c r="B178" s="389" t="s">
        <v>10</v>
      </c>
      <c r="C178" s="389" t="s">
        <v>11</v>
      </c>
      <c r="D178" s="397"/>
      <c r="E178" s="397"/>
      <c r="F178" s="397"/>
      <c r="G178" s="397"/>
      <c r="H178" s="397"/>
      <c r="I178" s="397"/>
      <c r="J178" s="397"/>
      <c r="K178" s="397"/>
      <c r="L178" s="397"/>
      <c r="M178" s="397"/>
      <c r="N178" s="397"/>
      <c r="O178" s="397"/>
      <c r="P178" s="397"/>
      <c r="Q178" s="397"/>
      <c r="R178" s="397"/>
    </row>
    <row r="179" spans="1:18">
      <c r="A179" s="63" t="s">
        <v>39</v>
      </c>
      <c r="B179" s="259" t="s">
        <v>40</v>
      </c>
      <c r="C179" s="232" t="s">
        <v>217</v>
      </c>
      <c r="D179" s="234"/>
      <c r="E179" s="234"/>
      <c r="F179" s="234"/>
      <c r="G179" s="234"/>
      <c r="H179" s="234">
        <f>'RAB inputs'!D24</f>
        <v>0</v>
      </c>
      <c r="I179" s="234">
        <f>H183</f>
        <v>0</v>
      </c>
      <c r="J179" s="234">
        <f>I183</f>
        <v>1425.0110502692996</v>
      </c>
      <c r="K179" s="234">
        <f>J183</f>
        <v>2791.8583842010771</v>
      </c>
      <c r="L179" s="234">
        <f>K183</f>
        <v>2675.5309515260324</v>
      </c>
      <c r="M179" s="234">
        <f>L183</f>
        <v>2559.2035188509876</v>
      </c>
      <c r="N179" s="234">
        <f>H179+SUM(H180:M180)-SUM(H148:M148)</f>
        <v>2442.8760861759424</v>
      </c>
      <c r="O179" s="234">
        <f>N183</f>
        <v>2420.4944377396123</v>
      </c>
      <c r="P179" s="234">
        <f>O183</f>
        <v>2312.3709828893566</v>
      </c>
      <c r="Q179" s="234">
        <f>P183</f>
        <v>2199.3328952562729</v>
      </c>
      <c r="R179" s="234">
        <f>Q183</f>
        <v>2095.3237336795842</v>
      </c>
    </row>
    <row r="180" spans="1:18">
      <c r="A180" s="63" t="s">
        <v>84</v>
      </c>
      <c r="B180" s="259" t="s">
        <v>40</v>
      </c>
      <c r="C180" s="232" t="s">
        <v>217</v>
      </c>
      <c r="D180" s="234"/>
      <c r="E180" s="234"/>
      <c r="F180" s="234"/>
      <c r="G180" s="234"/>
      <c r="H180" s="234">
        <f t="shared" ref="H180:M180" si="28">H113</f>
        <v>0</v>
      </c>
      <c r="I180" s="234">
        <f t="shared" si="28"/>
        <v>1454.0929084380609</v>
      </c>
      <c r="J180" s="234">
        <f t="shared" si="28"/>
        <v>1454.0929084380609</v>
      </c>
      <c r="K180" s="234">
        <f t="shared" si="28"/>
        <v>0</v>
      </c>
      <c r="L180" s="234">
        <f t="shared" si="28"/>
        <v>0</v>
      </c>
      <c r="M180" s="234">
        <f t="shared" si="28"/>
        <v>0</v>
      </c>
      <c r="N180" s="234">
        <f>N113+D47</f>
        <v>0</v>
      </c>
      <c r="O180" s="234">
        <f>O113+E47</f>
        <v>0</v>
      </c>
      <c r="P180" s="234">
        <f>P113+F47</f>
        <v>0</v>
      </c>
      <c r="Q180" s="234">
        <f>Q113+G47</f>
        <v>0</v>
      </c>
      <c r="R180" s="234">
        <f>R113+H47</f>
        <v>0</v>
      </c>
    </row>
    <row r="181" spans="1:18">
      <c r="A181" s="63" t="s">
        <v>259</v>
      </c>
      <c r="B181" s="259" t="s">
        <v>40</v>
      </c>
      <c r="C181" s="232" t="s">
        <v>217</v>
      </c>
      <c r="D181" s="234"/>
      <c r="E181" s="234"/>
      <c r="F181" s="234"/>
      <c r="G181" s="234"/>
      <c r="H181" s="234"/>
      <c r="I181" s="234"/>
      <c r="J181" s="234"/>
      <c r="K181" s="234"/>
      <c r="L181" s="234"/>
      <c r="M181" s="234"/>
      <c r="N181" s="234">
        <f>D49</f>
        <v>95.863045141545527</v>
      </c>
      <c r="O181" s="234">
        <f>E49</f>
        <v>12.284183296378417</v>
      </c>
      <c r="P181" s="234">
        <f>F49</f>
        <v>7.7706471219163387</v>
      </c>
      <c r="Q181" s="234">
        <f>G49</f>
        <v>17.301006245662734</v>
      </c>
      <c r="R181" s="234">
        <f>H49</f>
        <v>0</v>
      </c>
    </row>
    <row r="182" spans="1:18">
      <c r="A182" s="63" t="s">
        <v>263</v>
      </c>
      <c r="B182" s="259" t="s">
        <v>40</v>
      </c>
      <c r="C182" s="232" t="s">
        <v>217</v>
      </c>
      <c r="H182" s="234">
        <f t="shared" ref="H182:M182" si="29">H148</f>
        <v>0</v>
      </c>
      <c r="I182" s="234">
        <f t="shared" si="29"/>
        <v>29.081858168761219</v>
      </c>
      <c r="J182" s="234">
        <f t="shared" si="29"/>
        <v>87.24557450628366</v>
      </c>
      <c r="K182" s="234">
        <f t="shared" si="29"/>
        <v>116.32743267504488</v>
      </c>
      <c r="L182" s="234">
        <f t="shared" si="29"/>
        <v>116.32743267504488</v>
      </c>
      <c r="M182" s="234">
        <f t="shared" si="29"/>
        <v>116.32743267504488</v>
      </c>
      <c r="N182" s="234">
        <f>N148</f>
        <v>118.24469357787576</v>
      </c>
      <c r="O182" s="234">
        <f t="shared" ref="O182:R182" si="30">O148</f>
        <v>120.40763814663426</v>
      </c>
      <c r="P182" s="234">
        <f t="shared" si="30"/>
        <v>120.80873475500015</v>
      </c>
      <c r="Q182" s="234">
        <f t="shared" si="30"/>
        <v>121.31016782235172</v>
      </c>
      <c r="R182" s="234">
        <f t="shared" si="30"/>
        <v>121.65618794726497</v>
      </c>
    </row>
    <row r="183" spans="1:18">
      <c r="A183" s="63" t="s">
        <v>45</v>
      </c>
      <c r="B183" s="259" t="s">
        <v>40</v>
      </c>
      <c r="C183" s="232" t="s">
        <v>217</v>
      </c>
      <c r="D183" s="234"/>
      <c r="E183" s="234"/>
      <c r="F183" s="234"/>
      <c r="G183" s="234"/>
      <c r="H183" s="234">
        <f>H179+H180+H181-H182</f>
        <v>0</v>
      </c>
      <c r="I183" s="234">
        <f t="shared" ref="I183:R183" si="31">I179+I180+I181-I182</f>
        <v>1425.0110502692996</v>
      </c>
      <c r="J183" s="234">
        <f t="shared" si="31"/>
        <v>2791.8583842010771</v>
      </c>
      <c r="K183" s="234">
        <f t="shared" si="31"/>
        <v>2675.5309515260324</v>
      </c>
      <c r="L183" s="234">
        <f t="shared" si="31"/>
        <v>2559.2035188509876</v>
      </c>
      <c r="M183" s="234">
        <f t="shared" si="31"/>
        <v>2442.8760861759429</v>
      </c>
      <c r="N183" s="234">
        <f t="shared" si="31"/>
        <v>2420.4944377396123</v>
      </c>
      <c r="O183" s="234">
        <f t="shared" si="31"/>
        <v>2312.3709828893566</v>
      </c>
      <c r="P183" s="234">
        <f t="shared" si="31"/>
        <v>2199.3328952562729</v>
      </c>
      <c r="Q183" s="234">
        <f t="shared" si="31"/>
        <v>2095.3237336795842</v>
      </c>
      <c r="R183" s="234">
        <f t="shared" si="31"/>
        <v>1973.6675457323192</v>
      </c>
    </row>
    <row r="184" spans="1:18">
      <c r="A184" s="63" t="s">
        <v>46</v>
      </c>
      <c r="B184" s="259" t="s">
        <v>40</v>
      </c>
      <c r="C184" s="232" t="s">
        <v>217</v>
      </c>
      <c r="D184" s="234"/>
      <c r="E184" s="234"/>
      <c r="F184" s="234"/>
      <c r="G184" s="234"/>
      <c r="H184" s="234">
        <f t="shared" ref="H184:R184" si="32">(H179+H183)/2</f>
        <v>0</v>
      </c>
      <c r="I184" s="234">
        <f t="shared" si="32"/>
        <v>712.50552513464982</v>
      </c>
      <c r="J184" s="234">
        <f t="shared" si="32"/>
        <v>2108.4347172351881</v>
      </c>
      <c r="K184" s="234">
        <f t="shared" si="32"/>
        <v>2733.694667863555</v>
      </c>
      <c r="L184" s="234">
        <f t="shared" si="32"/>
        <v>2617.3672351885098</v>
      </c>
      <c r="M184" s="234">
        <f t="shared" si="32"/>
        <v>2501.0398025134655</v>
      </c>
      <c r="N184" s="234">
        <f t="shared" si="32"/>
        <v>2431.6852619577776</v>
      </c>
      <c r="O184" s="234">
        <f t="shared" si="32"/>
        <v>2366.4327103144842</v>
      </c>
      <c r="P184" s="234">
        <f t="shared" si="32"/>
        <v>2255.8519390728147</v>
      </c>
      <c r="Q184" s="234">
        <f t="shared" si="32"/>
        <v>2147.3283144679285</v>
      </c>
      <c r="R184" s="234">
        <f t="shared" si="32"/>
        <v>2034.4956397059518</v>
      </c>
    </row>
    <row r="187" spans="1:18" ht="18">
      <c r="A187" s="256" t="s">
        <v>428</v>
      </c>
      <c r="B187" s="257"/>
    </row>
    <row r="189" spans="1:18" s="286" customFormat="1">
      <c r="A189" s="65" t="s">
        <v>430</v>
      </c>
    </row>
    <row r="190" spans="1:18" s="286" customFormat="1">
      <c r="A190" s="232" t="s">
        <v>333</v>
      </c>
      <c r="D190" s="268">
        <f>SUM(N173:R173)/(SUM(N173:R173)+SUM(N182:R182))</f>
        <v>0.93745800262644219</v>
      </c>
    </row>
    <row r="191" spans="1:18" s="286" customFormat="1">
      <c r="A191" s="232" t="s">
        <v>216</v>
      </c>
      <c r="D191" s="288">
        <f>1-D190</f>
        <v>6.2541997373557812E-2</v>
      </c>
    </row>
    <row r="192" spans="1:18" s="286" customFormat="1"/>
    <row r="193" spans="1:9">
      <c r="A193" s="65" t="s">
        <v>663</v>
      </c>
      <c r="B193" s="389" t="s">
        <v>10</v>
      </c>
      <c r="C193" s="389" t="s">
        <v>11</v>
      </c>
      <c r="D193" s="388" t="s">
        <v>0</v>
      </c>
      <c r="E193" s="388" t="s">
        <v>1</v>
      </c>
      <c r="F193" s="388" t="s">
        <v>2</v>
      </c>
      <c r="G193" s="388" t="s">
        <v>3</v>
      </c>
      <c r="H193" s="388" t="s">
        <v>4</v>
      </c>
      <c r="I193" s="388" t="s">
        <v>20</v>
      </c>
    </row>
    <row r="194" spans="1:9">
      <c r="A194" s="232" t="s">
        <v>333</v>
      </c>
      <c r="B194" s="259" t="s">
        <v>40</v>
      </c>
      <c r="C194" s="232" t="s">
        <v>217</v>
      </c>
      <c r="D194" s="234">
        <f>N64</f>
        <v>3999.2616251784443</v>
      </c>
      <c r="E194" s="234">
        <f t="shared" ref="E194:H194" si="33">O64</f>
        <v>1762.9726765238149</v>
      </c>
      <c r="F194" s="234">
        <f t="shared" si="33"/>
        <v>1363.870779847397</v>
      </c>
      <c r="G194" s="234">
        <f t="shared" si="33"/>
        <v>1312.7862152154398</v>
      </c>
      <c r="H194" s="234">
        <f t="shared" si="33"/>
        <v>1272.6674596050275</v>
      </c>
      <c r="I194" s="234">
        <f>SUM(D194:H194)</f>
        <v>9711.5587563701229</v>
      </c>
    </row>
    <row r="195" spans="1:9">
      <c r="A195" s="232" t="s">
        <v>216</v>
      </c>
      <c r="B195" s="259" t="s">
        <v>40</v>
      </c>
      <c r="C195" s="232" t="s">
        <v>217</v>
      </c>
      <c r="D195" s="234">
        <f>N117</f>
        <v>116.32743267504486</v>
      </c>
      <c r="E195" s="234">
        <f t="shared" ref="E195:H195" si="34">O117</f>
        <v>116.32743267504486</v>
      </c>
      <c r="F195" s="234">
        <f t="shared" si="34"/>
        <v>116.32743267504486</v>
      </c>
      <c r="G195" s="234">
        <f t="shared" si="34"/>
        <v>116.32743267504486</v>
      </c>
      <c r="H195" s="234">
        <f t="shared" si="34"/>
        <v>116.32743267504486</v>
      </c>
      <c r="I195" s="234">
        <f>SUM(D195:H195)</f>
        <v>581.6371633752243</v>
      </c>
    </row>
    <row r="196" spans="1:9" s="286" customFormat="1">
      <c r="A196" s="232" t="s">
        <v>432</v>
      </c>
      <c r="B196" s="259" t="s">
        <v>40</v>
      </c>
      <c r="C196" s="232" t="s">
        <v>217</v>
      </c>
      <c r="D196" s="234">
        <f>'RAB inputs'!D40</f>
        <v>0</v>
      </c>
      <c r="E196" s="234">
        <f>'RAB inputs'!E40</f>
        <v>0</v>
      </c>
      <c r="F196" s="234">
        <f>'RAB inputs'!F40</f>
        <v>0</v>
      </c>
      <c r="G196" s="234">
        <f>'RAB inputs'!G40</f>
        <v>850</v>
      </c>
      <c r="H196" s="234">
        <f>'RAB inputs'!H40</f>
        <v>850</v>
      </c>
      <c r="I196" s="234">
        <f>SUM(D196:H196)</f>
        <v>1700</v>
      </c>
    </row>
    <row r="198" spans="1:9">
      <c r="A198" s="65" t="s">
        <v>416</v>
      </c>
      <c r="B198" s="390"/>
      <c r="C198" s="390"/>
      <c r="D198" s="388" t="s">
        <v>0</v>
      </c>
      <c r="E198" s="388" t="s">
        <v>1</v>
      </c>
      <c r="F198" s="388" t="s">
        <v>2</v>
      </c>
      <c r="G198" s="388" t="s">
        <v>3</v>
      </c>
      <c r="H198" s="388" t="s">
        <v>4</v>
      </c>
      <c r="I198" s="388" t="s">
        <v>20</v>
      </c>
    </row>
    <row r="199" spans="1:9">
      <c r="A199" s="232" t="s">
        <v>333</v>
      </c>
      <c r="B199" s="259" t="s">
        <v>40</v>
      </c>
      <c r="C199" s="232" t="s">
        <v>217</v>
      </c>
      <c r="D199" s="234">
        <f>'RAB inputs'!D$96*RAB!$D$190/I$15</f>
        <v>2937.7510677600244</v>
      </c>
      <c r="E199" s="234">
        <f>'RAB inputs'!E$96*RAB!$D$190/J$15</f>
        <v>1846.8394303497021</v>
      </c>
      <c r="F199" s="234">
        <f>'RAB inputs'!F$96*RAB!$D$190/K$15</f>
        <v>1314.1771546970208</v>
      </c>
      <c r="G199" s="234">
        <f>'RAB inputs'!G$96*RAB!$D$190/L$15</f>
        <v>1991.121906032794</v>
      </c>
      <c r="H199" s="234">
        <f>'RAB inputs'!H$96*RAB!$D$190/M$15</f>
        <v>2184.2255926184084</v>
      </c>
      <c r="I199" s="234">
        <f>SUM(D199:H199)</f>
        <v>10274.115151457951</v>
      </c>
    </row>
    <row r="200" spans="1:9">
      <c r="A200" s="232" t="s">
        <v>216</v>
      </c>
      <c r="B200" s="259" t="s">
        <v>40</v>
      </c>
      <c r="C200" s="232" t="s">
        <v>217</v>
      </c>
      <c r="D200" s="234">
        <f>'RAB inputs'!D$96*RAB!$D$191/I$15</f>
        <v>195.99045402488056</v>
      </c>
      <c r="E200" s="234">
        <f>'RAB inputs'!E$96*RAB!$D$191/J$15</f>
        <v>123.21088142477616</v>
      </c>
      <c r="F200" s="234">
        <f>'RAB inputs'!F$96*RAB!$D$191/K$15</f>
        <v>87.674609344822343</v>
      </c>
      <c r="G200" s="234">
        <f>'RAB inputs'!G$96*RAB!$D$191/L$15</f>
        <v>132.8366077932545</v>
      </c>
      <c r="H200" s="234">
        <f>'RAB inputs'!H$96*RAB!$D$191/M$15</f>
        <v>145.71941451678327</v>
      </c>
      <c r="I200" s="234">
        <f>SUM(D200:H200)</f>
        <v>685.43196710451684</v>
      </c>
    </row>
    <row r="201" spans="1:9" s="286" customFormat="1">
      <c r="A201" s="232" t="s">
        <v>432</v>
      </c>
      <c r="B201" s="259" t="s">
        <v>40</v>
      </c>
      <c r="C201" s="232" t="s">
        <v>217</v>
      </c>
      <c r="D201" s="234">
        <f>D196</f>
        <v>0</v>
      </c>
      <c r="E201" s="234">
        <f t="shared" ref="E201:H201" si="35">E196</f>
        <v>0</v>
      </c>
      <c r="F201" s="234">
        <f t="shared" si="35"/>
        <v>0</v>
      </c>
      <c r="G201" s="234">
        <f t="shared" si="35"/>
        <v>850</v>
      </c>
      <c r="H201" s="234">
        <f t="shared" si="35"/>
        <v>850</v>
      </c>
      <c r="I201" s="234">
        <f>SUM(D201:H201)</f>
        <v>1700</v>
      </c>
    </row>
    <row r="203" spans="1:9">
      <c r="A203" s="65" t="s">
        <v>303</v>
      </c>
      <c r="B203" s="390"/>
      <c r="C203" s="390"/>
      <c r="D203" s="388" t="s">
        <v>0</v>
      </c>
      <c r="E203" s="388" t="s">
        <v>1</v>
      </c>
      <c r="F203" s="388" t="s">
        <v>2</v>
      </c>
      <c r="G203" s="388" t="s">
        <v>3</v>
      </c>
      <c r="H203" s="388" t="s">
        <v>4</v>
      </c>
      <c r="I203" s="388" t="s">
        <v>20</v>
      </c>
    </row>
    <row r="204" spans="1:9">
      <c r="A204" s="232" t="s">
        <v>333</v>
      </c>
      <c r="B204" s="259" t="s">
        <v>40</v>
      </c>
      <c r="C204" s="232" t="s">
        <v>217</v>
      </c>
      <c r="D204" s="234">
        <f>(D194-D199)*0.5</f>
        <v>530.75527870920996</v>
      </c>
      <c r="E204" s="234">
        <f t="shared" ref="E204:H204" si="36">(E194-E199)*0.5</f>
        <v>-41.933376912943572</v>
      </c>
      <c r="F204" s="234">
        <f t="shared" si="36"/>
        <v>24.846812575188096</v>
      </c>
      <c r="G204" s="234">
        <f t="shared" si="36"/>
        <v>-339.16784540867707</v>
      </c>
      <c r="H204" s="234">
        <f t="shared" si="36"/>
        <v>-455.77906650669047</v>
      </c>
      <c r="I204" s="234">
        <f>SUM(D204:H204)</f>
        <v>-281.27819754391305</v>
      </c>
    </row>
    <row r="205" spans="1:9">
      <c r="A205" s="232" t="s">
        <v>216</v>
      </c>
      <c r="B205" s="259" t="s">
        <v>40</v>
      </c>
      <c r="C205" s="232" t="s">
        <v>217</v>
      </c>
      <c r="D205" s="234">
        <f t="shared" ref="D205:H206" si="37">(D195-D200)*0.5</f>
        <v>-39.831510674917851</v>
      </c>
      <c r="E205" s="234">
        <f t="shared" si="37"/>
        <v>-3.4417243748656503</v>
      </c>
      <c r="F205" s="234">
        <f t="shared" si="37"/>
        <v>14.326411665111259</v>
      </c>
      <c r="G205" s="234">
        <f t="shared" si="37"/>
        <v>-8.2545875591048201</v>
      </c>
      <c r="H205" s="234">
        <f t="shared" si="37"/>
        <v>-14.695990920869207</v>
      </c>
      <c r="I205" s="234">
        <f>SUM(D205:H205)</f>
        <v>-51.89740186464627</v>
      </c>
    </row>
    <row r="206" spans="1:9" s="286" customFormat="1">
      <c r="A206" s="232" t="s">
        <v>432</v>
      </c>
      <c r="B206" s="259" t="s">
        <v>40</v>
      </c>
      <c r="C206" s="232" t="s">
        <v>217</v>
      </c>
      <c r="D206" s="234">
        <f t="shared" si="37"/>
        <v>0</v>
      </c>
      <c r="E206" s="234">
        <f t="shared" si="37"/>
        <v>0</v>
      </c>
      <c r="F206" s="234">
        <f t="shared" si="37"/>
        <v>0</v>
      </c>
      <c r="G206" s="234">
        <f t="shared" si="37"/>
        <v>0</v>
      </c>
      <c r="H206" s="234">
        <f t="shared" si="37"/>
        <v>0</v>
      </c>
      <c r="I206" s="234">
        <f>SUM(D206:H206)</f>
        <v>0</v>
      </c>
    </row>
    <row r="208" spans="1:9">
      <c r="A208" s="65" t="s">
        <v>423</v>
      </c>
      <c r="B208" s="390"/>
      <c r="C208" s="390"/>
      <c r="D208" s="388" t="s">
        <v>0</v>
      </c>
      <c r="E208" s="388" t="s">
        <v>1</v>
      </c>
      <c r="F208" s="388" t="s">
        <v>2</v>
      </c>
      <c r="G208" s="388" t="s">
        <v>3</v>
      </c>
      <c r="H208" s="388" t="s">
        <v>4</v>
      </c>
      <c r="I208" s="388" t="s">
        <v>20</v>
      </c>
    </row>
    <row r="209" spans="1:18">
      <c r="A209" s="232" t="s">
        <v>333</v>
      </c>
      <c r="B209" s="259" t="s">
        <v>40</v>
      </c>
      <c r="C209" s="232" t="s">
        <v>217</v>
      </c>
      <c r="D209" s="234">
        <f>D194-D204</f>
        <v>3468.5063464692344</v>
      </c>
      <c r="E209" s="234">
        <f t="shared" ref="E209:H209" si="38">E194-E204</f>
        <v>1804.9060534367586</v>
      </c>
      <c r="F209" s="234">
        <f t="shared" si="38"/>
        <v>1339.0239672722089</v>
      </c>
      <c r="G209" s="234">
        <f t="shared" si="38"/>
        <v>1651.9540606241169</v>
      </c>
      <c r="H209" s="234">
        <f t="shared" si="38"/>
        <v>1728.446526111718</v>
      </c>
      <c r="I209" s="234">
        <f>SUM(D209:H209)</f>
        <v>9992.8369539140367</v>
      </c>
    </row>
    <row r="210" spans="1:18">
      <c r="A210" s="232" t="s">
        <v>216</v>
      </c>
      <c r="B210" s="259" t="s">
        <v>40</v>
      </c>
      <c r="C210" s="232" t="s">
        <v>217</v>
      </c>
      <c r="D210" s="234">
        <f>D195-D205</f>
        <v>156.15894334996273</v>
      </c>
      <c r="E210" s="234">
        <f t="shared" ref="E210:H210" si="39">E195-E205</f>
        <v>119.76915704991052</v>
      </c>
      <c r="F210" s="234">
        <f t="shared" si="39"/>
        <v>102.00102100993359</v>
      </c>
      <c r="G210" s="234">
        <f t="shared" si="39"/>
        <v>124.58202023414968</v>
      </c>
      <c r="H210" s="234">
        <f t="shared" si="39"/>
        <v>131.02342359591407</v>
      </c>
      <c r="I210" s="234">
        <f>SUM(D210:H210)</f>
        <v>633.53456523987063</v>
      </c>
    </row>
    <row r="211" spans="1:18" s="286" customFormat="1">
      <c r="A211" s="232" t="s">
        <v>432</v>
      </c>
      <c r="B211" s="259" t="s">
        <v>40</v>
      </c>
      <c r="C211" s="232" t="s">
        <v>217</v>
      </c>
      <c r="D211" s="234">
        <f>D196-D206</f>
        <v>0</v>
      </c>
      <c r="E211" s="234">
        <f t="shared" ref="E211:H211" si="40">E196-E206</f>
        <v>0</v>
      </c>
      <c r="F211" s="234">
        <f t="shared" si="40"/>
        <v>0</v>
      </c>
      <c r="G211" s="234">
        <f t="shared" si="40"/>
        <v>850</v>
      </c>
      <c r="H211" s="234">
        <f t="shared" si="40"/>
        <v>850</v>
      </c>
      <c r="I211" s="234">
        <f>SUM(D211:H211)</f>
        <v>1700</v>
      </c>
    </row>
    <row r="214" spans="1:18" ht="18">
      <c r="A214" s="256" t="s">
        <v>304</v>
      </c>
      <c r="B214" s="257"/>
    </row>
    <row r="215" spans="1:18">
      <c r="B215" s="390"/>
      <c r="C215" s="391" t="s">
        <v>281</v>
      </c>
      <c r="D215" s="397">
        <v>39538</v>
      </c>
      <c r="E215" s="397">
        <v>39721</v>
      </c>
      <c r="F215" s="397">
        <v>40086</v>
      </c>
      <c r="G215" s="397">
        <v>40268</v>
      </c>
      <c r="H215" s="397">
        <v>40451</v>
      </c>
      <c r="I215" s="397">
        <v>40816</v>
      </c>
      <c r="J215" s="397">
        <v>41182</v>
      </c>
      <c r="K215" s="397">
        <v>41547</v>
      </c>
      <c r="L215" s="397">
        <v>41912</v>
      </c>
      <c r="M215" s="397">
        <v>42277</v>
      </c>
      <c r="N215" s="397">
        <v>42643</v>
      </c>
      <c r="O215" s="397">
        <v>43008</v>
      </c>
      <c r="P215" s="397">
        <v>43373</v>
      </c>
      <c r="Q215" s="397">
        <v>43738</v>
      </c>
      <c r="R215" s="397">
        <v>44104</v>
      </c>
    </row>
    <row r="216" spans="1:18">
      <c r="A216" s="65" t="s">
        <v>329</v>
      </c>
      <c r="B216" s="389" t="s">
        <v>10</v>
      </c>
      <c r="C216" s="389" t="s">
        <v>11</v>
      </c>
      <c r="D216" s="397"/>
      <c r="E216" s="397"/>
      <c r="F216" s="397"/>
      <c r="G216" s="397"/>
      <c r="H216" s="397"/>
      <c r="I216" s="397"/>
      <c r="J216" s="397"/>
      <c r="K216" s="397"/>
      <c r="L216" s="397"/>
      <c r="M216" s="397"/>
      <c r="N216" s="397"/>
      <c r="O216" s="397"/>
      <c r="P216" s="397"/>
      <c r="Q216" s="397"/>
      <c r="R216" s="397"/>
    </row>
    <row r="217" spans="1:18">
      <c r="A217" s="63" t="s">
        <v>39</v>
      </c>
      <c r="B217" s="259" t="s">
        <v>40</v>
      </c>
      <c r="C217" s="232" t="s">
        <v>217</v>
      </c>
      <c r="D217" s="234">
        <f>'RAB inputs'!D5</f>
        <v>16552.87475049901</v>
      </c>
      <c r="E217" s="234">
        <f>D221</f>
        <v>17894.307474871937</v>
      </c>
      <c r="F217" s="234">
        <f t="shared" ref="F217:R217" si="41">E221</f>
        <v>18160.370710177893</v>
      </c>
      <c r="G217" s="234">
        <f t="shared" si="41"/>
        <v>19514.847844406802</v>
      </c>
      <c r="H217" s="234">
        <f t="shared" si="41"/>
        <v>21284.341637978705</v>
      </c>
      <c r="I217" s="234">
        <f t="shared" si="41"/>
        <v>20635.531193930885</v>
      </c>
      <c r="J217" s="234">
        <f t="shared" si="41"/>
        <v>18126.835687343329</v>
      </c>
      <c r="K217" s="234">
        <f t="shared" si="41"/>
        <v>15821.779178736026</v>
      </c>
      <c r="L217" s="234">
        <f t="shared" si="41"/>
        <v>12329.246935164629</v>
      </c>
      <c r="M217" s="234">
        <f t="shared" si="41"/>
        <v>10028.13552866684</v>
      </c>
      <c r="N217" s="234">
        <f t="shared" si="41"/>
        <v>6430.878756370128</v>
      </c>
      <c r="O217" s="234">
        <f t="shared" si="41"/>
        <v>4123.9282629995923</v>
      </c>
      <c r="P217" s="234">
        <f t="shared" si="41"/>
        <v>3330.6208052760635</v>
      </c>
      <c r="Q217" s="234">
        <f>P221</f>
        <v>2706.5626942784347</v>
      </c>
      <c r="R217" s="234">
        <f t="shared" si="41"/>
        <v>2199.5379535710426</v>
      </c>
    </row>
    <row r="218" spans="1:18">
      <c r="A218" s="63" t="s">
        <v>84</v>
      </c>
      <c r="B218" s="259" t="s">
        <v>40</v>
      </c>
      <c r="C218" s="232" t="s">
        <v>217</v>
      </c>
      <c r="D218" s="234">
        <f t="shared" ref="D218:R218" si="42">SUM(D55:D57)</f>
        <v>2116.7832446290081</v>
      </c>
      <c r="E218" s="234">
        <f t="shared" si="42"/>
        <v>1262.6801421709006</v>
      </c>
      <c r="F218" s="234">
        <f t="shared" si="42"/>
        <v>3654.6519071999674</v>
      </c>
      <c r="G218" s="234">
        <f t="shared" si="42"/>
        <v>3035.1734247186259</v>
      </c>
      <c r="H218" s="234">
        <f t="shared" si="42"/>
        <v>1047.8191202872531</v>
      </c>
      <c r="I218" s="234">
        <f t="shared" si="42"/>
        <v>1013.3891382405744</v>
      </c>
      <c r="J218" s="234">
        <f t="shared" si="42"/>
        <v>1365.722621184919</v>
      </c>
      <c r="K218" s="234">
        <f t="shared" si="42"/>
        <v>281.17818671454216</v>
      </c>
      <c r="L218" s="234">
        <f t="shared" si="42"/>
        <v>1589.5175044883301</v>
      </c>
      <c r="M218" s="234">
        <f t="shared" si="42"/>
        <v>418.89811490125669</v>
      </c>
      <c r="N218" s="234">
        <f t="shared" si="42"/>
        <v>0</v>
      </c>
      <c r="O218" s="234">
        <f t="shared" si="42"/>
        <v>0</v>
      </c>
      <c r="P218" s="234">
        <f t="shared" si="42"/>
        <v>0</v>
      </c>
      <c r="Q218" s="234">
        <f t="shared" si="42"/>
        <v>0</v>
      </c>
      <c r="R218" s="234">
        <f t="shared" si="42"/>
        <v>0</v>
      </c>
    </row>
    <row r="219" spans="1:18">
      <c r="A219" s="63" t="s">
        <v>259</v>
      </c>
      <c r="B219" s="259" t="s">
        <v>40</v>
      </c>
      <c r="C219" s="232" t="s">
        <v>217</v>
      </c>
      <c r="D219" s="234"/>
      <c r="E219" s="234"/>
      <c r="F219" s="234"/>
      <c r="G219" s="234"/>
      <c r="H219" s="234"/>
      <c r="I219" s="234"/>
      <c r="J219" s="234"/>
      <c r="K219" s="234"/>
      <c r="L219" s="234"/>
      <c r="M219" s="234"/>
      <c r="N219" s="234">
        <f>D41</f>
        <v>1161.5558530986993</v>
      </c>
      <c r="O219" s="234">
        <f>E41</f>
        <v>1011.59859571323</v>
      </c>
      <c r="P219" s="234">
        <f>F41</f>
        <v>714.96585627457989</v>
      </c>
      <c r="Q219" s="234">
        <f>G41</f>
        <v>1144.9293199167246</v>
      </c>
      <c r="R219" s="234">
        <f>H41</f>
        <v>1445.7902315447709</v>
      </c>
    </row>
    <row r="220" spans="1:18">
      <c r="A220" s="63" t="s">
        <v>424</v>
      </c>
      <c r="B220" s="259" t="s">
        <v>40</v>
      </c>
      <c r="C220" s="232" t="s">
        <v>217</v>
      </c>
      <c r="D220" s="234">
        <f t="shared" ref="D220:M220" si="43">D101</f>
        <v>775.35052025608229</v>
      </c>
      <c r="E220" s="234">
        <f t="shared" si="43"/>
        <v>996.61690686494535</v>
      </c>
      <c r="F220" s="234">
        <f t="shared" si="43"/>
        <v>2300.1747729710587</v>
      </c>
      <c r="G220" s="234">
        <f t="shared" si="43"/>
        <v>1265.6796311467238</v>
      </c>
      <c r="H220" s="234">
        <f t="shared" si="43"/>
        <v>1696.6295643350707</v>
      </c>
      <c r="I220" s="234">
        <f t="shared" si="43"/>
        <v>3522.08464482813</v>
      </c>
      <c r="J220" s="234">
        <f t="shared" si="43"/>
        <v>3670.7791297922236</v>
      </c>
      <c r="K220" s="234">
        <f t="shared" si="43"/>
        <v>3773.7104302859398</v>
      </c>
      <c r="L220" s="234">
        <f t="shared" si="43"/>
        <v>3890.6289109861195</v>
      </c>
      <c r="M220" s="234">
        <f t="shared" si="43"/>
        <v>4016.1548871979685</v>
      </c>
      <c r="N220" s="234">
        <f>D209</f>
        <v>3468.5063464692344</v>
      </c>
      <c r="O220" s="234">
        <f>E209</f>
        <v>1804.9060534367586</v>
      </c>
      <c r="P220" s="234">
        <f>F209</f>
        <v>1339.0239672722089</v>
      </c>
      <c r="Q220" s="234">
        <f>G209</f>
        <v>1651.9540606241169</v>
      </c>
      <c r="R220" s="234">
        <f>H209</f>
        <v>1728.446526111718</v>
      </c>
    </row>
    <row r="221" spans="1:18">
      <c r="A221" s="63" t="s">
        <v>45</v>
      </c>
      <c r="B221" s="259" t="s">
        <v>40</v>
      </c>
      <c r="C221" s="232" t="s">
        <v>217</v>
      </c>
      <c r="D221" s="234">
        <f t="shared" ref="D221:R221" si="44">D217+D218+D219-D220</f>
        <v>17894.307474871937</v>
      </c>
      <c r="E221" s="234">
        <f t="shared" si="44"/>
        <v>18160.370710177893</v>
      </c>
      <c r="F221" s="234">
        <f t="shared" si="44"/>
        <v>19514.847844406802</v>
      </c>
      <c r="G221" s="234">
        <f t="shared" si="44"/>
        <v>21284.341637978705</v>
      </c>
      <c r="H221" s="234">
        <f t="shared" si="44"/>
        <v>20635.531193930885</v>
      </c>
      <c r="I221" s="234">
        <f t="shared" si="44"/>
        <v>18126.835687343329</v>
      </c>
      <c r="J221" s="234">
        <f t="shared" si="44"/>
        <v>15821.779178736026</v>
      </c>
      <c r="K221" s="234">
        <f t="shared" si="44"/>
        <v>12329.246935164629</v>
      </c>
      <c r="L221" s="234">
        <f t="shared" si="44"/>
        <v>10028.13552866684</v>
      </c>
      <c r="M221" s="234">
        <f t="shared" si="44"/>
        <v>6430.878756370128</v>
      </c>
      <c r="N221" s="234">
        <f t="shared" si="44"/>
        <v>4123.9282629995923</v>
      </c>
      <c r="O221" s="234">
        <f t="shared" si="44"/>
        <v>3330.6208052760635</v>
      </c>
      <c r="P221" s="234">
        <f t="shared" si="44"/>
        <v>2706.5626942784347</v>
      </c>
      <c r="Q221" s="234">
        <f t="shared" si="44"/>
        <v>2199.5379535710426</v>
      </c>
      <c r="R221" s="234">
        <f t="shared" si="44"/>
        <v>1916.8816590040956</v>
      </c>
    </row>
    <row r="222" spans="1:18">
      <c r="A222" s="63" t="s">
        <v>46</v>
      </c>
      <c r="B222" s="259" t="s">
        <v>40</v>
      </c>
      <c r="C222" s="232" t="s">
        <v>217</v>
      </c>
      <c r="D222" s="234">
        <f t="shared" ref="D222:R222" si="45">(D217+D221)/2</f>
        <v>17223.591112685473</v>
      </c>
      <c r="E222" s="234">
        <f t="shared" si="45"/>
        <v>18027.339092524915</v>
      </c>
      <c r="F222" s="234">
        <f t="shared" si="45"/>
        <v>18837.609277292348</v>
      </c>
      <c r="G222" s="234">
        <f t="shared" si="45"/>
        <v>20399.594741192755</v>
      </c>
      <c r="H222" s="234">
        <f t="shared" si="45"/>
        <v>20959.936415954795</v>
      </c>
      <c r="I222" s="234">
        <f t="shared" si="45"/>
        <v>19381.183440637105</v>
      </c>
      <c r="J222" s="234">
        <f t="shared" si="45"/>
        <v>16974.307433039678</v>
      </c>
      <c r="K222" s="234">
        <f t="shared" si="45"/>
        <v>14075.513056950327</v>
      </c>
      <c r="L222" s="234">
        <f t="shared" si="45"/>
        <v>11178.691231915735</v>
      </c>
      <c r="M222" s="234">
        <f t="shared" si="45"/>
        <v>8229.5071425184833</v>
      </c>
      <c r="N222" s="234">
        <f t="shared" si="45"/>
        <v>5277.4035096848602</v>
      </c>
      <c r="O222" s="234">
        <f t="shared" si="45"/>
        <v>3727.2745341378277</v>
      </c>
      <c r="P222" s="234">
        <f t="shared" si="45"/>
        <v>3018.5917497772489</v>
      </c>
      <c r="Q222" s="234">
        <f t="shared" si="45"/>
        <v>2453.0503239247387</v>
      </c>
      <c r="R222" s="234">
        <f t="shared" si="45"/>
        <v>2058.2098062875693</v>
      </c>
    </row>
    <row r="224" spans="1:18">
      <c r="A224" s="65" t="s">
        <v>330</v>
      </c>
      <c r="B224" s="389" t="s">
        <v>10</v>
      </c>
      <c r="C224" s="389" t="s">
        <v>11</v>
      </c>
      <c r="D224" s="397">
        <v>39538</v>
      </c>
      <c r="E224" s="397">
        <v>39721</v>
      </c>
      <c r="F224" s="397">
        <v>40086</v>
      </c>
      <c r="G224" s="397">
        <v>40268</v>
      </c>
      <c r="H224" s="397">
        <v>40451</v>
      </c>
      <c r="I224" s="397">
        <v>40816</v>
      </c>
      <c r="J224" s="397">
        <v>41182</v>
      </c>
      <c r="K224" s="397">
        <v>41547</v>
      </c>
      <c r="L224" s="397">
        <v>41912</v>
      </c>
      <c r="M224" s="397">
        <v>42277</v>
      </c>
      <c r="N224" s="397">
        <v>42643</v>
      </c>
      <c r="O224" s="397">
        <v>43008</v>
      </c>
      <c r="P224" s="397">
        <v>43373</v>
      </c>
      <c r="Q224" s="397">
        <v>43738</v>
      </c>
      <c r="R224" s="397">
        <v>44104</v>
      </c>
    </row>
    <row r="225" spans="1:18">
      <c r="A225" s="63" t="s">
        <v>39</v>
      </c>
      <c r="B225" s="259" t="s">
        <v>40</v>
      </c>
      <c r="C225" s="232" t="s">
        <v>217</v>
      </c>
      <c r="D225" s="234"/>
      <c r="E225" s="234"/>
      <c r="F225" s="234"/>
      <c r="G225" s="234"/>
      <c r="H225" s="234">
        <f>'RAB inputs'!D24</f>
        <v>0</v>
      </c>
      <c r="I225" s="234">
        <f>H229</f>
        <v>0</v>
      </c>
      <c r="J225" s="234">
        <f t="shared" ref="J225:R225" si="46">I229</f>
        <v>1425.0110502692996</v>
      </c>
      <c r="K225" s="234">
        <f t="shared" si="46"/>
        <v>2791.8583842010771</v>
      </c>
      <c r="L225" s="234">
        <f t="shared" si="46"/>
        <v>2675.5309515260324</v>
      </c>
      <c r="M225" s="234">
        <f t="shared" si="46"/>
        <v>2559.2035188509876</v>
      </c>
      <c r="N225" s="234">
        <f t="shared" si="46"/>
        <v>2442.8760861759429</v>
      </c>
      <c r="O225" s="234">
        <f t="shared" si="46"/>
        <v>2382.5801879675259</v>
      </c>
      <c r="P225" s="234">
        <f t="shared" si="46"/>
        <v>2275.095214213994</v>
      </c>
      <c r="Q225" s="234">
        <f>P229</f>
        <v>2180.8648403259767</v>
      </c>
      <c r="R225" s="234">
        <f t="shared" si="46"/>
        <v>2073.5838263374899</v>
      </c>
    </row>
    <row r="226" spans="1:18">
      <c r="A226" s="63" t="s">
        <v>84</v>
      </c>
      <c r="B226" s="259" t="s">
        <v>40</v>
      </c>
      <c r="C226" s="232" t="s">
        <v>217</v>
      </c>
      <c r="D226" s="234"/>
      <c r="E226" s="234"/>
      <c r="F226" s="234"/>
      <c r="G226" s="234"/>
      <c r="H226" s="234">
        <f t="shared" ref="H226:M226" si="47">H113</f>
        <v>0</v>
      </c>
      <c r="I226" s="234">
        <f t="shared" si="47"/>
        <v>1454.0929084380609</v>
      </c>
      <c r="J226" s="234">
        <f t="shared" si="47"/>
        <v>1454.0929084380609</v>
      </c>
      <c r="K226" s="234">
        <f t="shared" si="47"/>
        <v>0</v>
      </c>
      <c r="L226" s="234">
        <f t="shared" si="47"/>
        <v>0</v>
      </c>
      <c r="M226" s="234">
        <f t="shared" si="47"/>
        <v>0</v>
      </c>
      <c r="N226" s="234"/>
      <c r="O226" s="234"/>
      <c r="P226" s="234"/>
      <c r="Q226" s="234"/>
      <c r="R226" s="234"/>
    </row>
    <row r="227" spans="1:18">
      <c r="A227" s="63" t="s">
        <v>259</v>
      </c>
      <c r="B227" s="259" t="s">
        <v>40</v>
      </c>
      <c r="C227" s="232" t="s">
        <v>217</v>
      </c>
      <c r="D227" s="234"/>
      <c r="E227" s="234"/>
      <c r="F227" s="234"/>
      <c r="G227" s="234"/>
      <c r="H227" s="234"/>
      <c r="I227" s="234"/>
      <c r="J227" s="234"/>
      <c r="K227" s="234"/>
      <c r="L227" s="234"/>
      <c r="M227" s="234"/>
      <c r="N227" s="234">
        <f>D49</f>
        <v>95.863045141545527</v>
      </c>
      <c r="O227" s="234">
        <f>E49</f>
        <v>12.284183296378417</v>
      </c>
      <c r="P227" s="234">
        <f>F49</f>
        <v>7.7706471219163387</v>
      </c>
      <c r="Q227" s="234">
        <f>G49</f>
        <v>17.301006245662734</v>
      </c>
      <c r="R227" s="234">
        <f>H49</f>
        <v>0</v>
      </c>
    </row>
    <row r="228" spans="1:18">
      <c r="A228" s="286" t="s">
        <v>424</v>
      </c>
      <c r="B228" s="259" t="s">
        <v>40</v>
      </c>
      <c r="C228" s="232" t="s">
        <v>217</v>
      </c>
      <c r="D228" s="234">
        <f t="shared" ref="D228:M228" si="48">D148</f>
        <v>0</v>
      </c>
      <c r="E228" s="234">
        <f t="shared" si="48"/>
        <v>0</v>
      </c>
      <c r="F228" s="234">
        <f t="shared" si="48"/>
        <v>0</v>
      </c>
      <c r="G228" s="234">
        <f t="shared" si="48"/>
        <v>0</v>
      </c>
      <c r="H228" s="234">
        <f t="shared" si="48"/>
        <v>0</v>
      </c>
      <c r="I228" s="234">
        <f t="shared" si="48"/>
        <v>29.081858168761219</v>
      </c>
      <c r="J228" s="234">
        <f t="shared" si="48"/>
        <v>87.24557450628366</v>
      </c>
      <c r="K228" s="234">
        <f t="shared" si="48"/>
        <v>116.32743267504488</v>
      </c>
      <c r="L228" s="234">
        <f t="shared" si="48"/>
        <v>116.32743267504488</v>
      </c>
      <c r="M228" s="234">
        <f t="shared" si="48"/>
        <v>116.32743267504488</v>
      </c>
      <c r="N228" s="234">
        <f>D210</f>
        <v>156.15894334996273</v>
      </c>
      <c r="O228" s="234">
        <f>E210</f>
        <v>119.76915704991052</v>
      </c>
      <c r="P228" s="234">
        <f>F210</f>
        <v>102.00102100993359</v>
      </c>
      <c r="Q228" s="234">
        <f>G210</f>
        <v>124.58202023414968</v>
      </c>
      <c r="R228" s="234">
        <f>H210</f>
        <v>131.02342359591407</v>
      </c>
    </row>
    <row r="229" spans="1:18">
      <c r="A229" s="63" t="s">
        <v>45</v>
      </c>
      <c r="B229" s="259" t="s">
        <v>40</v>
      </c>
      <c r="C229" s="232" t="s">
        <v>217</v>
      </c>
      <c r="D229" s="234"/>
      <c r="E229" s="234"/>
      <c r="F229" s="234"/>
      <c r="G229" s="234"/>
      <c r="H229" s="234">
        <f>H225+H226+H227-H228</f>
        <v>0</v>
      </c>
      <c r="I229" s="234">
        <f t="shared" ref="I229:R229" si="49">I225+I226+I227-I228</f>
        <v>1425.0110502692996</v>
      </c>
      <c r="J229" s="234">
        <f t="shared" si="49"/>
        <v>2791.8583842010771</v>
      </c>
      <c r="K229" s="234">
        <f t="shared" si="49"/>
        <v>2675.5309515260324</v>
      </c>
      <c r="L229" s="234">
        <f t="shared" si="49"/>
        <v>2559.2035188509876</v>
      </c>
      <c r="M229" s="234">
        <f t="shared" si="49"/>
        <v>2442.8760861759429</v>
      </c>
      <c r="N229" s="234">
        <f t="shared" si="49"/>
        <v>2382.5801879675259</v>
      </c>
      <c r="O229" s="234">
        <f t="shared" si="49"/>
        <v>2275.095214213994</v>
      </c>
      <c r="P229" s="234">
        <f t="shared" si="49"/>
        <v>2180.8648403259767</v>
      </c>
      <c r="Q229" s="234">
        <f t="shared" si="49"/>
        <v>2073.5838263374899</v>
      </c>
      <c r="R229" s="234">
        <f t="shared" si="49"/>
        <v>1942.5604027415759</v>
      </c>
    </row>
    <row r="230" spans="1:18">
      <c r="A230" s="63" t="s">
        <v>46</v>
      </c>
      <c r="B230" s="259" t="s">
        <v>40</v>
      </c>
      <c r="C230" s="232" t="s">
        <v>217</v>
      </c>
      <c r="D230" s="234"/>
      <c r="E230" s="234"/>
      <c r="F230" s="234"/>
      <c r="G230" s="234"/>
      <c r="H230" s="234">
        <f t="shared" ref="H230:R230" si="50">(H225+H229)/2</f>
        <v>0</v>
      </c>
      <c r="I230" s="234">
        <f t="shared" si="50"/>
        <v>712.50552513464982</v>
      </c>
      <c r="J230" s="234">
        <f t="shared" si="50"/>
        <v>2108.4347172351881</v>
      </c>
      <c r="K230" s="234">
        <f t="shared" si="50"/>
        <v>2733.694667863555</v>
      </c>
      <c r="L230" s="234">
        <f t="shared" si="50"/>
        <v>2617.3672351885098</v>
      </c>
      <c r="M230" s="234">
        <f t="shared" si="50"/>
        <v>2501.0398025134655</v>
      </c>
      <c r="N230" s="234">
        <f t="shared" si="50"/>
        <v>2412.7281370717346</v>
      </c>
      <c r="O230" s="234">
        <f t="shared" si="50"/>
        <v>2328.8377010907598</v>
      </c>
      <c r="P230" s="234">
        <f t="shared" si="50"/>
        <v>2227.9800272699854</v>
      </c>
      <c r="Q230" s="234">
        <f t="shared" si="50"/>
        <v>2127.2243333317333</v>
      </c>
      <c r="R230" s="234">
        <f t="shared" si="50"/>
        <v>2008.0721145395328</v>
      </c>
    </row>
    <row r="232" spans="1:18" ht="18">
      <c r="A232" s="256" t="s">
        <v>425</v>
      </c>
      <c r="B232" s="257"/>
    </row>
    <row r="233" spans="1:18" ht="71.25">
      <c r="A233" s="65" t="s">
        <v>265</v>
      </c>
      <c r="B233" s="389" t="s">
        <v>10</v>
      </c>
      <c r="C233" s="389" t="s">
        <v>11</v>
      </c>
      <c r="D233" s="407" t="s">
        <v>426</v>
      </c>
      <c r="E233" s="407" t="s">
        <v>427</v>
      </c>
      <c r="F233" s="407" t="s">
        <v>264</v>
      </c>
      <c r="G233" s="226"/>
      <c r="H233" s="226"/>
      <c r="I233" s="226"/>
    </row>
    <row r="234" spans="1:18">
      <c r="A234" s="232" t="s">
        <v>86</v>
      </c>
      <c r="B234" s="259" t="s">
        <v>40</v>
      </c>
      <c r="C234" s="232" t="s">
        <v>217</v>
      </c>
      <c r="D234" s="234">
        <f>SUM(N173:R173)</f>
        <v>9029.9387884249973</v>
      </c>
      <c r="E234" s="234">
        <f>SUM(I209)</f>
        <v>9992.8369539140367</v>
      </c>
      <c r="F234" s="234">
        <f>D234-E234</f>
        <v>-962.89816548903946</v>
      </c>
      <c r="G234" s="226"/>
      <c r="H234" s="226"/>
      <c r="I234" s="234"/>
    </row>
    <row r="235" spans="1:18">
      <c r="A235" s="232" t="s">
        <v>38</v>
      </c>
      <c r="B235" s="259" t="s">
        <v>40</v>
      </c>
      <c r="C235" s="232" t="s">
        <v>217</v>
      </c>
      <c r="D235" s="234">
        <f>SUM(N182:R182)</f>
        <v>602.42742224912683</v>
      </c>
      <c r="E235" s="234">
        <f>SUM(I210)</f>
        <v>633.53456523987063</v>
      </c>
      <c r="F235" s="234">
        <f>D235-E235</f>
        <v>-31.107142990743796</v>
      </c>
      <c r="G235" s="226"/>
      <c r="H235" s="226"/>
      <c r="I235" s="234"/>
    </row>
    <row r="236" spans="1:18" s="286" customFormat="1">
      <c r="A236" s="232" t="s">
        <v>432</v>
      </c>
      <c r="B236" s="259" t="s">
        <v>40</v>
      </c>
      <c r="C236" s="232" t="s">
        <v>217</v>
      </c>
      <c r="D236" s="234">
        <f>SUM('RAB inputs'!D40:H40)</f>
        <v>1700</v>
      </c>
      <c r="E236" s="234">
        <f>I211</f>
        <v>1700</v>
      </c>
      <c r="F236" s="234">
        <f>D236-E236</f>
        <v>0</v>
      </c>
      <c r="G236" s="226"/>
      <c r="H236" s="226"/>
      <c r="I236" s="234"/>
    </row>
    <row r="238" spans="1:18">
      <c r="A238" s="65" t="s">
        <v>266</v>
      </c>
      <c r="B238" s="389" t="s">
        <v>10</v>
      </c>
      <c r="C238" s="389" t="s">
        <v>11</v>
      </c>
      <c r="D238" s="389"/>
      <c r="E238" s="389"/>
      <c r="F238" s="407" t="s">
        <v>264</v>
      </c>
    </row>
    <row r="239" spans="1:18">
      <c r="A239" s="232" t="s">
        <v>86</v>
      </c>
      <c r="B239" s="259" t="s">
        <v>40</v>
      </c>
      <c r="C239" s="63" t="s">
        <v>53</v>
      </c>
      <c r="F239" s="234">
        <f>F234*$K$18</f>
        <v>-1091.7077645050929</v>
      </c>
    </row>
    <row r="240" spans="1:18">
      <c r="A240" s="232" t="s">
        <v>38</v>
      </c>
      <c r="B240" s="259" t="s">
        <v>40</v>
      </c>
      <c r="C240" s="63" t="s">
        <v>53</v>
      </c>
      <c r="F240" s="234">
        <f>F235*$K$18</f>
        <v>-35.26843310301409</v>
      </c>
    </row>
    <row r="241" spans="1:8" s="286" customFormat="1">
      <c r="A241" s="232" t="s">
        <v>432</v>
      </c>
      <c r="B241" s="259" t="s">
        <v>40</v>
      </c>
      <c r="C241" s="232" t="s">
        <v>217</v>
      </c>
      <c r="F241" s="234">
        <f>F236*$K$18</f>
        <v>0</v>
      </c>
    </row>
    <row r="243" spans="1:8" ht="18">
      <c r="A243" s="256" t="s">
        <v>429</v>
      </c>
      <c r="B243" s="257"/>
    </row>
    <row r="244" spans="1:8">
      <c r="B244" s="390"/>
      <c r="C244" s="390"/>
      <c r="D244" s="388" t="s">
        <v>5</v>
      </c>
      <c r="E244" s="388" t="s">
        <v>6</v>
      </c>
      <c r="F244" s="388" t="s">
        <v>7</v>
      </c>
      <c r="G244" s="388" t="s">
        <v>8</v>
      </c>
      <c r="H244" s="388" t="s">
        <v>9</v>
      </c>
    </row>
    <row r="245" spans="1:8">
      <c r="A245" s="232" t="s">
        <v>267</v>
      </c>
      <c r="D245" s="240">
        <v>0.2</v>
      </c>
      <c r="E245" s="240">
        <v>0.2</v>
      </c>
      <c r="F245" s="240">
        <v>0.2</v>
      </c>
      <c r="G245" s="240">
        <v>0.2</v>
      </c>
      <c r="H245" s="240">
        <v>0.2</v>
      </c>
    </row>
    <row r="246" spans="1:8">
      <c r="A246" s="65" t="s">
        <v>268</v>
      </c>
      <c r="B246" s="389" t="s">
        <v>10</v>
      </c>
      <c r="C246" s="389" t="s">
        <v>11</v>
      </c>
      <c r="D246" s="234"/>
      <c r="E246" s="234"/>
      <c r="F246" s="234"/>
      <c r="G246" s="234"/>
      <c r="H246" s="234"/>
    </row>
    <row r="247" spans="1:8">
      <c r="A247" s="232" t="s">
        <v>86</v>
      </c>
      <c r="B247" s="259" t="s">
        <v>40</v>
      </c>
      <c r="C247" s="63" t="s">
        <v>53</v>
      </c>
      <c r="D247" s="234">
        <f t="shared" ref="D247:H248" si="51">$F239*D$245</f>
        <v>-218.34155290101859</v>
      </c>
      <c r="E247" s="234">
        <f t="shared" si="51"/>
        <v>-218.34155290101859</v>
      </c>
      <c r="F247" s="234">
        <f t="shared" si="51"/>
        <v>-218.34155290101859</v>
      </c>
      <c r="G247" s="234">
        <f t="shared" si="51"/>
        <v>-218.34155290101859</v>
      </c>
      <c r="H247" s="234">
        <f t="shared" si="51"/>
        <v>-218.34155290101859</v>
      </c>
    </row>
    <row r="248" spans="1:8">
      <c r="A248" s="232" t="s">
        <v>38</v>
      </c>
      <c r="B248" s="259" t="s">
        <v>40</v>
      </c>
      <c r="C248" s="63" t="s">
        <v>53</v>
      </c>
      <c r="D248" s="234">
        <f t="shared" si="51"/>
        <v>-7.0536866206028179</v>
      </c>
      <c r="E248" s="234">
        <f t="shared" si="51"/>
        <v>-7.0536866206028179</v>
      </c>
      <c r="F248" s="234">
        <f t="shared" si="51"/>
        <v>-7.0536866206028179</v>
      </c>
      <c r="G248" s="234">
        <f t="shared" si="51"/>
        <v>-7.0536866206028179</v>
      </c>
      <c r="H248" s="234">
        <f t="shared" si="51"/>
        <v>-7.0536866206028179</v>
      </c>
    </row>
    <row r="250" spans="1:8" ht="18">
      <c r="A250" s="256" t="s">
        <v>332</v>
      </c>
      <c r="B250" s="257"/>
    </row>
    <row r="252" spans="1:8">
      <c r="A252" s="65" t="s">
        <v>329</v>
      </c>
      <c r="B252" s="389" t="s">
        <v>10</v>
      </c>
      <c r="C252" s="389" t="s">
        <v>11</v>
      </c>
      <c r="D252" s="388" t="s">
        <v>5</v>
      </c>
      <c r="E252" s="388" t="s">
        <v>6</v>
      </c>
      <c r="F252" s="388" t="s">
        <v>7</v>
      </c>
      <c r="G252" s="388" t="s">
        <v>8</v>
      </c>
      <c r="H252" s="388" t="s">
        <v>9</v>
      </c>
    </row>
    <row r="253" spans="1:8">
      <c r="A253" s="63" t="s">
        <v>39</v>
      </c>
      <c r="B253" s="259" t="s">
        <v>40</v>
      </c>
      <c r="C253" s="63" t="s">
        <v>53</v>
      </c>
      <c r="D253" s="234">
        <f>R221*K18</f>
        <v>2173.3083162634766</v>
      </c>
      <c r="E253" s="234">
        <f>D257</f>
        <v>5690.3512496569911</v>
      </c>
      <c r="F253" s="234">
        <f t="shared" ref="F253:H253" si="52">E257</f>
        <v>8479.1304639704849</v>
      </c>
      <c r="G253" s="234">
        <f t="shared" si="52"/>
        <v>8469.3953759820542</v>
      </c>
      <c r="H253" s="234">
        <f t="shared" si="52"/>
        <v>7897.0475704366754</v>
      </c>
    </row>
    <row r="254" spans="1:8">
      <c r="A254" s="63" t="s">
        <v>269</v>
      </c>
      <c r="B254" s="259" t="s">
        <v>40</v>
      </c>
      <c r="C254" s="63" t="s">
        <v>53</v>
      </c>
      <c r="D254" s="234">
        <f>S67</f>
        <v>4899.2880820571754</v>
      </c>
      <c r="E254" s="234">
        <f>T67</f>
        <v>4905.0742525586629</v>
      </c>
      <c r="F254" s="234">
        <f>U67</f>
        <v>2668.1268793971562</v>
      </c>
      <c r="G254" s="234">
        <f>V67</f>
        <v>2401.6188785135851</v>
      </c>
      <c r="H254" s="234">
        <f>W67</f>
        <v>2231.9843349734192</v>
      </c>
    </row>
    <row r="255" spans="1:8">
      <c r="A255" s="63" t="s">
        <v>270</v>
      </c>
      <c r="B255" s="259" t="s">
        <v>40</v>
      </c>
      <c r="C255" s="63" t="s">
        <v>53</v>
      </c>
      <c r="D255" s="234">
        <f>D106</f>
        <v>1600.5867015646802</v>
      </c>
      <c r="E255" s="234">
        <f>E106</f>
        <v>2334.636591146188</v>
      </c>
      <c r="F255" s="234">
        <f>F106</f>
        <v>2896.2035202866045</v>
      </c>
      <c r="G255" s="234">
        <f>G106</f>
        <v>3192.3082369599829</v>
      </c>
      <c r="H255" s="234">
        <f>H106</f>
        <v>3361.9398182036252</v>
      </c>
    </row>
    <row r="256" spans="1:8">
      <c r="A256" s="63" t="s">
        <v>271</v>
      </c>
      <c r="B256" s="259" t="s">
        <v>40</v>
      </c>
      <c r="C256" s="63" t="s">
        <v>53</v>
      </c>
      <c r="D256" s="234">
        <f>D247</f>
        <v>-218.34155290101859</v>
      </c>
      <c r="E256" s="234">
        <f>E247</f>
        <v>-218.34155290101859</v>
      </c>
      <c r="F256" s="234">
        <f>F247</f>
        <v>-218.34155290101859</v>
      </c>
      <c r="G256" s="234">
        <f>G247</f>
        <v>-218.34155290101859</v>
      </c>
      <c r="H256" s="234">
        <f>H247</f>
        <v>-218.34155290101859</v>
      </c>
    </row>
    <row r="257" spans="1:15">
      <c r="A257" s="63" t="s">
        <v>45</v>
      </c>
      <c r="B257" s="259" t="s">
        <v>40</v>
      </c>
      <c r="C257" s="63" t="s">
        <v>53</v>
      </c>
      <c r="D257" s="234">
        <f>D253+D254-D255-D256</f>
        <v>5690.3512496569911</v>
      </c>
      <c r="E257" s="234">
        <f t="shared" ref="E257:H257" si="53">E253+E254-E255-E256</f>
        <v>8479.1304639704849</v>
      </c>
      <c r="F257" s="234">
        <f t="shared" si="53"/>
        <v>8469.3953759820542</v>
      </c>
      <c r="G257" s="234">
        <f t="shared" si="53"/>
        <v>7897.0475704366754</v>
      </c>
      <c r="H257" s="234">
        <f t="shared" si="53"/>
        <v>6985.4336401074879</v>
      </c>
    </row>
    <row r="258" spans="1:15">
      <c r="A258" s="63" t="s">
        <v>46</v>
      </c>
      <c r="B258" s="259" t="s">
        <v>40</v>
      </c>
      <c r="C258" s="63" t="s">
        <v>53</v>
      </c>
      <c r="D258" s="234">
        <f>AVERAGE(D253,D257)</f>
        <v>3931.8297829602338</v>
      </c>
      <c r="E258" s="234">
        <f t="shared" ref="E258:H258" si="54">AVERAGE(E253,E257)</f>
        <v>7084.740856813738</v>
      </c>
      <c r="F258" s="234">
        <f t="shared" si="54"/>
        <v>8474.2629199762705</v>
      </c>
      <c r="G258" s="234">
        <f t="shared" si="54"/>
        <v>8183.2214732093653</v>
      </c>
      <c r="H258" s="234">
        <f t="shared" si="54"/>
        <v>7441.2406052720817</v>
      </c>
    </row>
    <row r="260" spans="1:15">
      <c r="A260" s="65" t="s">
        <v>330</v>
      </c>
      <c r="B260" s="389" t="s">
        <v>10</v>
      </c>
      <c r="C260" s="389" t="s">
        <v>11</v>
      </c>
      <c r="D260" s="388" t="s">
        <v>5</v>
      </c>
      <c r="E260" s="388" t="s">
        <v>6</v>
      </c>
      <c r="F260" s="388" t="s">
        <v>7</v>
      </c>
      <c r="G260" s="388" t="s">
        <v>8</v>
      </c>
      <c r="H260" s="388" t="s">
        <v>9</v>
      </c>
    </row>
    <row r="261" spans="1:15">
      <c r="A261" s="63" t="s">
        <v>39</v>
      </c>
      <c r="B261" s="259" t="s">
        <v>40</v>
      </c>
      <c r="C261" s="63" t="s">
        <v>53</v>
      </c>
      <c r="D261" s="234">
        <f>R229*K18</f>
        <v>2202.4221778593246</v>
      </c>
      <c r="E261" s="234">
        <f>D265</f>
        <v>2118.0953857001009</v>
      </c>
      <c r="F261" s="234">
        <f t="shared" ref="F261:H261" si="55">E265</f>
        <v>2031.8685935408769</v>
      </c>
      <c r="G261" s="234">
        <f t="shared" si="55"/>
        <v>1906.991801381653</v>
      </c>
      <c r="H261" s="234">
        <f t="shared" si="55"/>
        <v>1781.715009222429</v>
      </c>
    </row>
    <row r="262" spans="1:15">
      <c r="A262" s="63" t="s">
        <v>269</v>
      </c>
      <c r="B262" s="259" t="s">
        <v>40</v>
      </c>
      <c r="C262" s="63" t="s">
        <v>53</v>
      </c>
      <c r="D262" s="234">
        <f>S120</f>
        <v>47.5</v>
      </c>
      <c r="E262" s="234">
        <f>T120</f>
        <v>47.5</v>
      </c>
      <c r="F262" s="234">
        <f>U120</f>
        <v>10</v>
      </c>
      <c r="G262" s="234">
        <f>V120</f>
        <v>10</v>
      </c>
      <c r="H262" s="234">
        <f>W120</f>
        <v>10</v>
      </c>
    </row>
    <row r="263" spans="1:15">
      <c r="A263" s="63" t="s">
        <v>270</v>
      </c>
      <c r="B263" s="259" t="s">
        <v>40</v>
      </c>
      <c r="C263" s="63" t="s">
        <v>53</v>
      </c>
      <c r="D263" s="234">
        <f>D155</f>
        <v>138.88047877982675</v>
      </c>
      <c r="E263" s="234">
        <f>E155</f>
        <v>140.78047877982675</v>
      </c>
      <c r="F263" s="234">
        <f>F155</f>
        <v>141.93047877982676</v>
      </c>
      <c r="G263" s="234">
        <f>G155</f>
        <v>142.33047877982676</v>
      </c>
      <c r="H263" s="234">
        <f>H155</f>
        <v>142.73047877982677</v>
      </c>
    </row>
    <row r="264" spans="1:15">
      <c r="A264" s="63" t="s">
        <v>271</v>
      </c>
      <c r="B264" s="259" t="s">
        <v>40</v>
      </c>
      <c r="C264" s="63" t="s">
        <v>53</v>
      </c>
      <c r="D264" s="234">
        <f>D248</f>
        <v>-7.0536866206028179</v>
      </c>
      <c r="E264" s="234">
        <f>E248</f>
        <v>-7.0536866206028179</v>
      </c>
      <c r="F264" s="234">
        <f>F248</f>
        <v>-7.0536866206028179</v>
      </c>
      <c r="G264" s="234">
        <f>G248</f>
        <v>-7.0536866206028179</v>
      </c>
      <c r="H264" s="234">
        <f>H248</f>
        <v>-7.0536866206028179</v>
      </c>
    </row>
    <row r="265" spans="1:15">
      <c r="A265" s="63" t="s">
        <v>45</v>
      </c>
      <c r="B265" s="259" t="s">
        <v>40</v>
      </c>
      <c r="C265" s="63" t="s">
        <v>53</v>
      </c>
      <c r="D265" s="234">
        <f>D261+D262-D263-D264</f>
        <v>2118.0953857001009</v>
      </c>
      <c r="E265" s="234">
        <f t="shared" ref="E265:H265" si="56">E261+E262-E263-E264</f>
        <v>2031.8685935408769</v>
      </c>
      <c r="F265" s="234">
        <f t="shared" si="56"/>
        <v>1906.991801381653</v>
      </c>
      <c r="G265" s="234">
        <f t="shared" si="56"/>
        <v>1781.715009222429</v>
      </c>
      <c r="H265" s="234">
        <f t="shared" si="56"/>
        <v>1656.0382170632049</v>
      </c>
    </row>
    <row r="266" spans="1:15">
      <c r="A266" s="63" t="s">
        <v>46</v>
      </c>
      <c r="B266" s="259" t="s">
        <v>40</v>
      </c>
      <c r="C266" s="63" t="s">
        <v>53</v>
      </c>
      <c r="D266" s="234">
        <f>AVERAGE(D261,D265)</f>
        <v>2160.258781779713</v>
      </c>
      <c r="E266" s="234">
        <f t="shared" ref="E266:H266" si="57">AVERAGE(E261,E265)</f>
        <v>2074.981989620489</v>
      </c>
      <c r="F266" s="234">
        <f t="shared" si="57"/>
        <v>1969.4301974612649</v>
      </c>
      <c r="G266" s="234">
        <f t="shared" si="57"/>
        <v>1844.353405302041</v>
      </c>
      <c r="H266" s="234">
        <f t="shared" si="57"/>
        <v>1718.876613142817</v>
      </c>
    </row>
    <row r="268" spans="1:15" ht="18">
      <c r="A268" s="256" t="s">
        <v>484</v>
      </c>
      <c r="B268" s="257"/>
    </row>
    <row r="269" spans="1:15">
      <c r="B269" s="390"/>
      <c r="C269" s="391" t="s">
        <v>285</v>
      </c>
      <c r="D269" s="398">
        <v>41760</v>
      </c>
      <c r="E269" s="398">
        <v>41913</v>
      </c>
      <c r="F269" s="398">
        <v>42278</v>
      </c>
      <c r="G269" s="398">
        <v>42644</v>
      </c>
      <c r="H269" s="398">
        <v>43009</v>
      </c>
      <c r="I269" s="398">
        <v>43374</v>
      </c>
      <c r="J269" s="398">
        <v>43739</v>
      </c>
      <c r="K269" s="398">
        <v>44105</v>
      </c>
      <c r="L269" s="398">
        <v>44470</v>
      </c>
      <c r="M269" s="398">
        <v>44835</v>
      </c>
      <c r="N269" s="398">
        <v>45200</v>
      </c>
      <c r="O269" s="398">
        <v>45566</v>
      </c>
    </row>
    <row r="270" spans="1:15">
      <c r="B270" s="390"/>
      <c r="C270" s="391" t="s">
        <v>286</v>
      </c>
      <c r="D270" s="398">
        <v>41912</v>
      </c>
      <c r="E270" s="398">
        <v>42277</v>
      </c>
      <c r="F270" s="398">
        <v>42643</v>
      </c>
      <c r="G270" s="398">
        <v>43008</v>
      </c>
      <c r="H270" s="398">
        <v>43373</v>
      </c>
      <c r="I270" s="398">
        <v>43738</v>
      </c>
      <c r="J270" s="398">
        <v>44104</v>
      </c>
      <c r="K270" s="398">
        <v>44469</v>
      </c>
      <c r="L270" s="398">
        <v>44834</v>
      </c>
      <c r="M270" s="398">
        <v>45199</v>
      </c>
      <c r="N270" s="398">
        <v>45565</v>
      </c>
      <c r="O270" s="398">
        <v>45930</v>
      </c>
    </row>
    <row r="271" spans="1:15">
      <c r="A271" s="65" t="s">
        <v>483</v>
      </c>
      <c r="B271" s="389" t="s">
        <v>10</v>
      </c>
      <c r="C271" s="389" t="s">
        <v>11</v>
      </c>
      <c r="D271" s="398"/>
      <c r="E271" s="398"/>
      <c r="F271" s="398"/>
      <c r="G271" s="398"/>
      <c r="H271" s="398"/>
      <c r="I271" s="398"/>
      <c r="J271" s="398"/>
      <c r="K271" s="398"/>
      <c r="L271" s="398"/>
      <c r="M271" s="398"/>
      <c r="N271" s="398"/>
      <c r="O271" s="398"/>
    </row>
    <row r="272" spans="1:15">
      <c r="A272" s="232" t="s">
        <v>257</v>
      </c>
      <c r="B272" s="259" t="s">
        <v>40</v>
      </c>
      <c r="C272" s="232" t="s">
        <v>217</v>
      </c>
      <c r="D272" s="234">
        <f>'RAB inputs'!D64</f>
        <v>0</v>
      </c>
      <c r="E272" s="234">
        <f>'RAB inputs'!E64</f>
        <v>1517</v>
      </c>
      <c r="F272" s="234">
        <f>'RAB inputs'!F64</f>
        <v>1556.1750526699661</v>
      </c>
      <c r="G272" s="234">
        <f>'RAB inputs'!G64</f>
        <v>2220.5283447475522</v>
      </c>
      <c r="H272" s="234">
        <f>'RAB inputs'!H64</f>
        <v>1636.3407930830576</v>
      </c>
      <c r="I272" s="234">
        <f>'RAB inputs'!I64</f>
        <v>2906.37616078265</v>
      </c>
      <c r="J272" s="234">
        <f>'RAB inputs'!J64</f>
        <v>2072.8119438060471</v>
      </c>
      <c r="K272" s="234"/>
      <c r="L272" s="234"/>
      <c r="M272" s="234"/>
      <c r="N272" s="234"/>
      <c r="O272" s="234"/>
    </row>
    <row r="273" spans="1:18">
      <c r="A273" s="232" t="s">
        <v>482</v>
      </c>
      <c r="B273" s="259" t="s">
        <v>40</v>
      </c>
      <c r="C273" s="232" t="s">
        <v>217</v>
      </c>
      <c r="D273" s="234"/>
      <c r="E273" s="234"/>
      <c r="F273" s="234">
        <f>'SONI BPDT RAB'!D72</f>
        <v>1720.4121261479311</v>
      </c>
      <c r="G273" s="234">
        <f>'SONI BPDT RAB'!E72</f>
        <v>2504.5757879105354</v>
      </c>
      <c r="H273" s="234">
        <f>'SONI BPDT RAB'!F72</f>
        <v>1667.9157934707182</v>
      </c>
      <c r="I273" s="234">
        <f>'SONI BPDT RAB'!G72</f>
        <v>1210.3637947359789</v>
      </c>
      <c r="J273" s="234">
        <f>'SONI BPDT RAB'!H72</f>
        <v>3086.0866176693889</v>
      </c>
      <c r="K273" s="234"/>
      <c r="L273" s="234"/>
      <c r="M273" s="234"/>
      <c r="N273" s="234"/>
      <c r="O273" s="234"/>
    </row>
    <row r="274" spans="1:18">
      <c r="A274" s="232" t="s">
        <v>659</v>
      </c>
      <c r="B274" s="259" t="s">
        <v>40</v>
      </c>
      <c r="C274" s="232" t="s">
        <v>217</v>
      </c>
      <c r="D274" s="234">
        <f>'RAB inputs'!D65</f>
        <v>0</v>
      </c>
      <c r="E274" s="234">
        <f>'RAB inputs'!E65</f>
        <v>0</v>
      </c>
      <c r="F274" s="234">
        <f>'RAB inputs'!F65</f>
        <v>0</v>
      </c>
      <c r="G274" s="234">
        <f>'RAB inputs'!G65</f>
        <v>0</v>
      </c>
      <c r="H274" s="234">
        <f>'RAB inputs'!H65</f>
        <v>0</v>
      </c>
      <c r="I274" s="234">
        <f>'RAB inputs'!I65</f>
        <v>0</v>
      </c>
      <c r="J274" s="234">
        <f>'RAB inputs'!J65</f>
        <v>724.25206176266488</v>
      </c>
      <c r="K274" s="234"/>
      <c r="L274" s="234"/>
      <c r="M274" s="234"/>
      <c r="N274" s="234"/>
      <c r="O274" s="234"/>
    </row>
    <row r="275" spans="1:18">
      <c r="A275" s="232" t="s">
        <v>658</v>
      </c>
      <c r="B275" s="259" t="s">
        <v>40</v>
      </c>
      <c r="C275" s="232" t="s">
        <v>217</v>
      </c>
      <c r="D275" s="234">
        <f>'RAB inputs'!D66</f>
        <v>0</v>
      </c>
      <c r="E275" s="234">
        <f>'RAB inputs'!E66</f>
        <v>0</v>
      </c>
      <c r="F275" s="234">
        <f>'RAB inputs'!F66</f>
        <v>0</v>
      </c>
      <c r="G275" s="234">
        <f>'RAB inputs'!G66</f>
        <v>0</v>
      </c>
      <c r="H275" s="234">
        <f>'RAB inputs'!H66</f>
        <v>0</v>
      </c>
      <c r="I275" s="234">
        <f>'RAB inputs'!I66</f>
        <v>0</v>
      </c>
      <c r="J275" s="234">
        <f>'RAB inputs'!J66</f>
        <v>281.1784630972445</v>
      </c>
      <c r="K275" s="234"/>
      <c r="L275" s="234"/>
      <c r="M275" s="234"/>
      <c r="N275" s="234"/>
      <c r="O275" s="234"/>
    </row>
    <row r="276" spans="1:18">
      <c r="A276" s="65" t="s">
        <v>485</v>
      </c>
      <c r="C276" s="232"/>
      <c r="E276" s="226"/>
      <c r="F276" s="226"/>
      <c r="G276" s="226"/>
      <c r="H276" s="226"/>
      <c r="I276" s="226"/>
      <c r="J276" s="226"/>
    </row>
    <row r="277" spans="1:18">
      <c r="A277" s="232" t="s">
        <v>479</v>
      </c>
      <c r="B277" s="259" t="s">
        <v>40</v>
      </c>
      <c r="C277" s="232" t="s">
        <v>53</v>
      </c>
      <c r="D277" s="234"/>
      <c r="E277" s="234"/>
      <c r="F277" s="234"/>
      <c r="G277" s="234"/>
      <c r="H277" s="234"/>
      <c r="I277" s="234"/>
      <c r="J277" s="234"/>
      <c r="K277" s="234">
        <f>'FD forecasts'!D34</f>
        <v>5074.2615384615383</v>
      </c>
      <c r="L277" s="234">
        <f>'FD forecasts'!E34</f>
        <v>3991.1461538461544</v>
      </c>
      <c r="M277" s="234">
        <f>'FD forecasts'!F34</f>
        <v>3299.6846153846159</v>
      </c>
      <c r="N277" s="234">
        <f>'FD forecasts'!G34</f>
        <v>2784.1153846153852</v>
      </c>
      <c r="O277" s="234">
        <f>'FD forecasts'!H34</f>
        <v>2149.7307692307691</v>
      </c>
    </row>
    <row r="278" spans="1:18">
      <c r="A278" s="232" t="s">
        <v>480</v>
      </c>
      <c r="B278" s="259" t="s">
        <v>40</v>
      </c>
      <c r="C278" s="232" t="s">
        <v>53</v>
      </c>
      <c r="D278" s="234"/>
      <c r="E278" s="234"/>
      <c r="F278" s="234"/>
      <c r="G278" s="234"/>
      <c r="H278" s="234"/>
      <c r="I278" s="234"/>
      <c r="J278" s="234"/>
      <c r="K278" s="234">
        <f>'FD forecasts'!D40</f>
        <v>919.23076923076917</v>
      </c>
      <c r="L278" s="234">
        <f>'FD forecasts'!E40</f>
        <v>992.92307692307702</v>
      </c>
      <c r="M278" s="234">
        <f>'FD forecasts'!F40</f>
        <v>1712.0615384615387</v>
      </c>
      <c r="N278" s="234">
        <f>'FD forecasts'!G40</f>
        <v>8611.3923076923093</v>
      </c>
      <c r="O278" s="234">
        <f>'FD forecasts'!H40</f>
        <v>9013.3538461538483</v>
      </c>
    </row>
    <row r="279" spans="1:18">
      <c r="A279" s="232" t="s">
        <v>481</v>
      </c>
      <c r="B279" s="259" t="s">
        <v>40</v>
      </c>
      <c r="C279" s="232" t="s">
        <v>53</v>
      </c>
      <c r="D279" s="234"/>
      <c r="E279" s="234"/>
      <c r="F279" s="234"/>
      <c r="G279" s="234"/>
      <c r="H279" s="234"/>
      <c r="I279" s="234"/>
      <c r="J279" s="234"/>
      <c r="K279" s="234">
        <f>'FD forecasts'!D41</f>
        <v>0</v>
      </c>
      <c r="L279" s="234">
        <f>'FD forecasts'!E41</f>
        <v>0</v>
      </c>
      <c r="M279" s="234">
        <f>'FD forecasts'!F41</f>
        <v>0</v>
      </c>
      <c r="N279" s="234">
        <f>'FD forecasts'!G41</f>
        <v>0</v>
      </c>
      <c r="O279" s="234">
        <f>'FD forecasts'!H41</f>
        <v>0</v>
      </c>
    </row>
    <row r="280" spans="1:18">
      <c r="A280" s="232"/>
      <c r="C280" s="232"/>
      <c r="F280" s="226"/>
      <c r="G280" s="226"/>
      <c r="H280" s="226"/>
      <c r="I280" s="226"/>
      <c r="J280" s="226"/>
    </row>
    <row r="281" spans="1:18">
      <c r="B281" s="390"/>
      <c r="C281" s="391" t="s">
        <v>281</v>
      </c>
      <c r="D281" s="397">
        <v>39538</v>
      </c>
      <c r="E281" s="397">
        <v>39721</v>
      </c>
      <c r="F281" s="397">
        <v>40086</v>
      </c>
      <c r="G281" s="397">
        <v>40268</v>
      </c>
      <c r="H281" s="397">
        <v>40451</v>
      </c>
      <c r="I281" s="397">
        <v>40816</v>
      </c>
      <c r="J281" s="397">
        <v>41182</v>
      </c>
      <c r="K281" s="397">
        <v>41547</v>
      </c>
      <c r="L281" s="397">
        <v>41912</v>
      </c>
      <c r="M281" s="397">
        <v>42277</v>
      </c>
      <c r="N281" s="397">
        <v>42643</v>
      </c>
      <c r="O281" s="397">
        <v>43008</v>
      </c>
      <c r="P281" s="397">
        <v>43373</v>
      </c>
      <c r="Q281" s="397">
        <v>43738</v>
      </c>
      <c r="R281" s="397">
        <v>44104</v>
      </c>
    </row>
    <row r="282" spans="1:18">
      <c r="A282" s="65" t="s">
        <v>486</v>
      </c>
      <c r="B282" s="389" t="s">
        <v>10</v>
      </c>
      <c r="C282" s="389" t="s">
        <v>11</v>
      </c>
      <c r="D282" s="397"/>
      <c r="E282" s="397"/>
      <c r="F282" s="397"/>
      <c r="G282" s="397"/>
      <c r="H282" s="397"/>
      <c r="I282" s="397"/>
      <c r="J282" s="397"/>
      <c r="K282" s="397"/>
      <c r="L282" s="397"/>
      <c r="M282" s="397"/>
      <c r="N282" s="397"/>
      <c r="O282" s="397"/>
      <c r="P282" s="397"/>
      <c r="Q282" s="397"/>
      <c r="R282" s="397"/>
    </row>
    <row r="283" spans="1:18">
      <c r="A283" s="63" t="s">
        <v>39</v>
      </c>
      <c r="B283" s="259" t="s">
        <v>40</v>
      </c>
      <c r="C283" s="232" t="s">
        <v>217</v>
      </c>
      <c r="D283" s="234"/>
      <c r="E283" s="234"/>
      <c r="F283" s="234"/>
      <c r="G283" s="234"/>
      <c r="H283" s="234"/>
      <c r="I283" s="234"/>
      <c r="J283" s="234"/>
      <c r="K283" s="234"/>
      <c r="L283" s="234">
        <f>'RAB inputs'!D60</f>
        <v>0</v>
      </c>
      <c r="M283" s="234">
        <v>0</v>
      </c>
      <c r="N283" s="234">
        <f>M287</f>
        <v>1517</v>
      </c>
      <c r="O283" s="234">
        <f>N287</f>
        <v>3237.4121261479313</v>
      </c>
      <c r="P283" s="234">
        <f>O287</f>
        <v>5741.9879140584671</v>
      </c>
      <c r="Q283" s="234">
        <f>P287</f>
        <v>7409.9037075291853</v>
      </c>
      <c r="R283" s="234">
        <f>Q287</f>
        <v>8620.2675022651638</v>
      </c>
    </row>
    <row r="284" spans="1:18">
      <c r="A284" s="63" t="s">
        <v>59</v>
      </c>
      <c r="B284" s="259" t="s">
        <v>40</v>
      </c>
      <c r="C284" s="232" t="s">
        <v>217</v>
      </c>
      <c r="D284" s="234"/>
      <c r="E284" s="234"/>
      <c r="F284" s="234"/>
      <c r="G284" s="234"/>
      <c r="H284" s="234"/>
      <c r="I284" s="234"/>
      <c r="J284" s="234"/>
      <c r="K284" s="234"/>
      <c r="L284" s="234">
        <f>D272</f>
        <v>0</v>
      </c>
      <c r="M284" s="234">
        <f>E272</f>
        <v>1517</v>
      </c>
      <c r="N284" s="234">
        <f t="shared" ref="N284:R286" si="58">F273</f>
        <v>1720.4121261479311</v>
      </c>
      <c r="O284" s="234">
        <f t="shared" si="58"/>
        <v>2504.5757879105354</v>
      </c>
      <c r="P284" s="234">
        <f t="shared" si="58"/>
        <v>1667.9157934707182</v>
      </c>
      <c r="Q284" s="234">
        <f t="shared" si="58"/>
        <v>1210.3637947359789</v>
      </c>
      <c r="R284" s="234">
        <f t="shared" si="58"/>
        <v>3086.0866176693889</v>
      </c>
    </row>
    <row r="285" spans="1:18">
      <c r="A285" s="63" t="s">
        <v>85</v>
      </c>
      <c r="B285" s="259" t="s">
        <v>40</v>
      </c>
      <c r="C285" s="232" t="s">
        <v>217</v>
      </c>
      <c r="D285" s="234"/>
      <c r="E285" s="234"/>
      <c r="F285" s="234"/>
      <c r="G285" s="234"/>
      <c r="H285" s="234"/>
      <c r="I285" s="234"/>
      <c r="J285" s="234"/>
      <c r="K285" s="234"/>
      <c r="L285" s="234">
        <f>D274</f>
        <v>0</v>
      </c>
      <c r="M285" s="234">
        <f>E274</f>
        <v>0</v>
      </c>
      <c r="N285" s="234">
        <f t="shared" si="58"/>
        <v>0</v>
      </c>
      <c r="O285" s="234">
        <f t="shared" si="58"/>
        <v>0</v>
      </c>
      <c r="P285" s="234">
        <f t="shared" si="58"/>
        <v>0</v>
      </c>
      <c r="Q285" s="234">
        <f t="shared" si="58"/>
        <v>0</v>
      </c>
      <c r="R285" s="234">
        <f t="shared" si="58"/>
        <v>724.25206176266488</v>
      </c>
    </row>
    <row r="286" spans="1:18">
      <c r="A286" s="63" t="s">
        <v>49</v>
      </c>
      <c r="B286" s="259" t="s">
        <v>40</v>
      </c>
      <c r="C286" s="232" t="s">
        <v>217</v>
      </c>
      <c r="D286" s="234"/>
      <c r="E286" s="234"/>
      <c r="F286" s="234"/>
      <c r="G286" s="234"/>
      <c r="H286" s="234"/>
      <c r="I286" s="234"/>
      <c r="J286" s="234"/>
      <c r="K286" s="234"/>
      <c r="L286" s="234">
        <f>D275</f>
        <v>0</v>
      </c>
      <c r="M286" s="234">
        <f>E275</f>
        <v>0</v>
      </c>
      <c r="N286" s="234">
        <f t="shared" si="58"/>
        <v>0</v>
      </c>
      <c r="O286" s="234">
        <f t="shared" si="58"/>
        <v>0</v>
      </c>
      <c r="P286" s="234">
        <f t="shared" si="58"/>
        <v>0</v>
      </c>
      <c r="Q286" s="234">
        <f t="shared" si="58"/>
        <v>0</v>
      </c>
      <c r="R286" s="234">
        <f t="shared" si="58"/>
        <v>281.1784630972445</v>
      </c>
    </row>
    <row r="287" spans="1:18">
      <c r="A287" s="63" t="s">
        <v>45</v>
      </c>
      <c r="B287" s="259" t="s">
        <v>40</v>
      </c>
      <c r="C287" s="232" t="s">
        <v>217</v>
      </c>
      <c r="D287" s="234"/>
      <c r="E287" s="234"/>
      <c r="F287" s="234"/>
      <c r="G287" s="234"/>
      <c r="H287" s="234"/>
      <c r="I287" s="234"/>
      <c r="J287" s="234"/>
      <c r="K287" s="234"/>
      <c r="L287" s="234">
        <f t="shared" ref="L287:R287" si="59">L283+L284-L285-L286</f>
        <v>0</v>
      </c>
      <c r="M287" s="234">
        <f t="shared" si="59"/>
        <v>1517</v>
      </c>
      <c r="N287" s="234">
        <f t="shared" si="59"/>
        <v>3237.4121261479313</v>
      </c>
      <c r="O287" s="234">
        <f t="shared" si="59"/>
        <v>5741.9879140584671</v>
      </c>
      <c r="P287" s="234">
        <f t="shared" si="59"/>
        <v>7409.9037075291853</v>
      </c>
      <c r="Q287" s="234">
        <f t="shared" si="59"/>
        <v>8620.2675022651638</v>
      </c>
      <c r="R287" s="234">
        <f t="shared" si="59"/>
        <v>10700.923595074642</v>
      </c>
    </row>
    <row r="288" spans="1:18">
      <c r="A288" s="63" t="s">
        <v>46</v>
      </c>
      <c r="B288" s="259" t="s">
        <v>40</v>
      </c>
      <c r="C288" s="232" t="s">
        <v>217</v>
      </c>
      <c r="D288" s="234"/>
      <c r="E288" s="234"/>
      <c r="F288" s="234"/>
      <c r="G288" s="234"/>
      <c r="H288" s="234"/>
      <c r="I288" s="234"/>
      <c r="J288" s="234"/>
      <c r="K288" s="234"/>
      <c r="L288" s="234">
        <f t="shared" ref="L288:R288" si="60">AVERAGE(L283,L287)</f>
        <v>0</v>
      </c>
      <c r="M288" s="234">
        <f t="shared" si="60"/>
        <v>758.5</v>
      </c>
      <c r="N288" s="234">
        <f t="shared" si="60"/>
        <v>2377.2060630739657</v>
      </c>
      <c r="O288" s="234">
        <f t="shared" si="60"/>
        <v>4489.7000201031988</v>
      </c>
      <c r="P288" s="234">
        <f t="shared" si="60"/>
        <v>6575.9458107938262</v>
      </c>
      <c r="Q288" s="234">
        <f t="shared" si="60"/>
        <v>8015.0856048971746</v>
      </c>
      <c r="R288" s="234">
        <f t="shared" si="60"/>
        <v>9660.5955486699022</v>
      </c>
    </row>
    <row r="290" spans="1:15">
      <c r="B290" s="390"/>
      <c r="C290" s="391" t="s">
        <v>281</v>
      </c>
      <c r="D290" s="397">
        <v>44469</v>
      </c>
      <c r="E290" s="397">
        <v>44834</v>
      </c>
      <c r="F290" s="397">
        <v>45199</v>
      </c>
      <c r="G290" s="397">
        <v>45565</v>
      </c>
      <c r="H290" s="397">
        <v>45930</v>
      </c>
    </row>
    <row r="291" spans="1:15">
      <c r="A291" s="65" t="s">
        <v>487</v>
      </c>
      <c r="B291" s="389" t="s">
        <v>10</v>
      </c>
      <c r="C291" s="389" t="s">
        <v>11</v>
      </c>
      <c r="D291" s="390"/>
      <c r="E291" s="390"/>
      <c r="F291" s="390"/>
      <c r="G291" s="390"/>
      <c r="H291" s="390"/>
    </row>
    <row r="292" spans="1:15">
      <c r="A292" s="63" t="s">
        <v>39</v>
      </c>
      <c r="B292" s="259" t="s">
        <v>40</v>
      </c>
      <c r="C292" s="232" t="s">
        <v>53</v>
      </c>
      <c r="D292" s="234">
        <f>R287*K18</f>
        <v>12132.416277047852</v>
      </c>
      <c r="E292" s="234">
        <f>D296</f>
        <v>16287.447046278623</v>
      </c>
      <c r="F292" s="234">
        <f t="shared" ref="F292:H292" si="61">E296</f>
        <v>19285.6701232017</v>
      </c>
      <c r="G292" s="234">
        <f t="shared" si="61"/>
        <v>20873.293200124779</v>
      </c>
      <c r="H292" s="234">
        <f t="shared" si="61"/>
        <v>15046.016277047856</v>
      </c>
    </row>
    <row r="293" spans="1:15">
      <c r="A293" s="63" t="s">
        <v>59</v>
      </c>
      <c r="B293" s="259" t="s">
        <v>40</v>
      </c>
      <c r="C293" s="232" t="s">
        <v>53</v>
      </c>
      <c r="D293" s="234">
        <f t="shared" ref="D293:H295" si="62">K277</f>
        <v>5074.2615384615383</v>
      </c>
      <c r="E293" s="234">
        <f t="shared" si="62"/>
        <v>3991.1461538461544</v>
      </c>
      <c r="F293" s="234">
        <f t="shared" si="62"/>
        <v>3299.6846153846159</v>
      </c>
      <c r="G293" s="234">
        <f t="shared" si="62"/>
        <v>2784.1153846153852</v>
      </c>
      <c r="H293" s="234">
        <f t="shared" si="62"/>
        <v>2149.7307692307691</v>
      </c>
    </row>
    <row r="294" spans="1:15">
      <c r="A294" s="63" t="s">
        <v>85</v>
      </c>
      <c r="B294" s="259" t="s">
        <v>40</v>
      </c>
      <c r="C294" s="232" t="s">
        <v>53</v>
      </c>
      <c r="D294" s="234">
        <f t="shared" si="62"/>
        <v>919.23076923076917</v>
      </c>
      <c r="E294" s="234">
        <f t="shared" si="62"/>
        <v>992.92307692307702</v>
      </c>
      <c r="F294" s="234">
        <f t="shared" si="62"/>
        <v>1712.0615384615387</v>
      </c>
      <c r="G294" s="234">
        <f t="shared" si="62"/>
        <v>8611.3923076923093</v>
      </c>
      <c r="H294" s="234">
        <f t="shared" si="62"/>
        <v>9013.3538461538483</v>
      </c>
    </row>
    <row r="295" spans="1:15">
      <c r="A295" s="63" t="s">
        <v>49</v>
      </c>
      <c r="B295" s="259" t="s">
        <v>40</v>
      </c>
      <c r="C295" s="232" t="s">
        <v>53</v>
      </c>
      <c r="D295" s="234">
        <f t="shared" si="62"/>
        <v>0</v>
      </c>
      <c r="E295" s="234">
        <f t="shared" si="62"/>
        <v>0</v>
      </c>
      <c r="F295" s="234">
        <f t="shared" si="62"/>
        <v>0</v>
      </c>
      <c r="G295" s="234">
        <f t="shared" si="62"/>
        <v>0</v>
      </c>
      <c r="H295" s="234">
        <f t="shared" si="62"/>
        <v>0</v>
      </c>
    </row>
    <row r="296" spans="1:15">
      <c r="A296" s="63" t="s">
        <v>45</v>
      </c>
      <c r="B296" s="259" t="s">
        <v>40</v>
      </c>
      <c r="C296" s="232" t="s">
        <v>53</v>
      </c>
      <c r="D296" s="234">
        <f>D292+D293-D294-D295</f>
        <v>16287.447046278623</v>
      </c>
      <c r="E296" s="234">
        <f>E292+E293-E294-E295</f>
        <v>19285.6701232017</v>
      </c>
      <c r="F296" s="234">
        <f t="shared" ref="F296:H296" si="63">F292+F293-F294-F295</f>
        <v>20873.293200124779</v>
      </c>
      <c r="G296" s="234">
        <f t="shared" si="63"/>
        <v>15046.016277047856</v>
      </c>
      <c r="H296" s="234">
        <f t="shared" si="63"/>
        <v>8182.3932001247776</v>
      </c>
    </row>
    <row r="297" spans="1:15">
      <c r="A297" s="63" t="s">
        <v>46</v>
      </c>
      <c r="B297" s="259" t="s">
        <v>40</v>
      </c>
      <c r="C297" s="232" t="s">
        <v>53</v>
      </c>
      <c r="D297" s="234">
        <f>AVERAGE(D292,D296)</f>
        <v>14209.931661663239</v>
      </c>
      <c r="E297" s="234">
        <f>AVERAGE(E292,E296)</f>
        <v>17786.55858474016</v>
      </c>
      <c r="F297" s="234">
        <f t="shared" ref="F297:H297" si="64">AVERAGE(F292,F296)</f>
        <v>20079.481661663238</v>
      </c>
      <c r="G297" s="234">
        <f t="shared" si="64"/>
        <v>17959.654738586316</v>
      </c>
      <c r="H297" s="234">
        <f t="shared" si="64"/>
        <v>11614.204738586317</v>
      </c>
    </row>
    <row r="299" spans="1:15" ht="18">
      <c r="A299" s="256" t="s">
        <v>335</v>
      </c>
      <c r="B299" s="257"/>
    </row>
    <row r="300" spans="1:15">
      <c r="B300" s="390"/>
      <c r="C300" s="391" t="s">
        <v>285</v>
      </c>
      <c r="D300" s="398">
        <v>41760</v>
      </c>
      <c r="E300" s="398">
        <v>41913</v>
      </c>
      <c r="F300" s="398">
        <v>42278</v>
      </c>
      <c r="G300" s="398">
        <v>42644</v>
      </c>
      <c r="H300" s="398">
        <v>43009</v>
      </c>
      <c r="I300" s="398">
        <v>43374</v>
      </c>
      <c r="J300" s="398">
        <v>43739</v>
      </c>
      <c r="K300" s="398">
        <v>44105</v>
      </c>
      <c r="L300" s="398">
        <v>44470</v>
      </c>
      <c r="M300" s="398">
        <v>44835</v>
      </c>
      <c r="N300" s="398">
        <v>45200</v>
      </c>
      <c r="O300" s="398">
        <v>45566</v>
      </c>
    </row>
    <row r="301" spans="1:15">
      <c r="B301" s="390"/>
      <c r="C301" s="391" t="s">
        <v>286</v>
      </c>
      <c r="D301" s="398">
        <v>41912</v>
      </c>
      <c r="E301" s="398">
        <v>42277</v>
      </c>
      <c r="F301" s="398">
        <v>42643</v>
      </c>
      <c r="G301" s="398">
        <v>43008</v>
      </c>
      <c r="H301" s="398">
        <v>43373</v>
      </c>
      <c r="I301" s="398">
        <v>43738</v>
      </c>
      <c r="J301" s="398">
        <v>44104</v>
      </c>
      <c r="K301" s="398">
        <v>44469</v>
      </c>
      <c r="L301" s="398">
        <v>44834</v>
      </c>
      <c r="M301" s="398">
        <v>45199</v>
      </c>
      <c r="N301" s="398">
        <v>45565</v>
      </c>
      <c r="O301" s="398">
        <v>45930</v>
      </c>
    </row>
    <row r="302" spans="1:15">
      <c r="B302" s="389" t="s">
        <v>10</v>
      </c>
      <c r="C302" s="389" t="s">
        <v>11</v>
      </c>
      <c r="D302" s="398"/>
      <c r="E302" s="398"/>
      <c r="F302" s="398"/>
      <c r="G302" s="398"/>
      <c r="H302" s="398"/>
      <c r="I302" s="398"/>
      <c r="J302" s="398"/>
      <c r="K302" s="398"/>
      <c r="L302" s="398"/>
      <c r="M302" s="398"/>
      <c r="N302" s="398"/>
      <c r="O302" s="398"/>
    </row>
    <row r="303" spans="1:15">
      <c r="A303" s="232" t="s">
        <v>257</v>
      </c>
      <c r="B303" s="259" t="s">
        <v>40</v>
      </c>
      <c r="C303" s="232" t="s">
        <v>217</v>
      </c>
      <c r="D303" s="234">
        <f>'RAB inputs'!D75</f>
        <v>0</v>
      </c>
      <c r="E303" s="234">
        <f>'RAB inputs'!E75</f>
        <v>0</v>
      </c>
      <c r="F303" s="234">
        <f>'RAB inputs'!F75</f>
        <v>0</v>
      </c>
      <c r="G303" s="234">
        <f>'RAB inputs'!G75</f>
        <v>0</v>
      </c>
      <c r="H303" s="234">
        <f>'RAB inputs'!H75</f>
        <v>0</v>
      </c>
      <c r="I303" s="234">
        <f>'RAB inputs'!I75</f>
        <v>0</v>
      </c>
      <c r="J303" s="234">
        <f>'RAB inputs'!J75</f>
        <v>23410</v>
      </c>
      <c r="K303" s="234"/>
      <c r="L303" s="234"/>
      <c r="M303" s="234"/>
      <c r="N303" s="234"/>
      <c r="O303" s="234"/>
    </row>
    <row r="304" spans="1:15">
      <c r="A304" s="232" t="s">
        <v>488</v>
      </c>
      <c r="B304" s="259" t="s">
        <v>40</v>
      </c>
      <c r="C304" s="232" t="s">
        <v>217</v>
      </c>
      <c r="D304" s="234"/>
      <c r="E304" s="234"/>
      <c r="F304" s="234">
        <f>'RAB inputs'!F76</f>
        <v>0</v>
      </c>
      <c r="G304" s="234">
        <f>'RAB inputs'!G76</f>
        <v>0</v>
      </c>
      <c r="H304" s="234">
        <f>'RAB inputs'!H76</f>
        <v>0</v>
      </c>
      <c r="I304" s="234">
        <f>'RAB inputs'!I76</f>
        <v>0</v>
      </c>
      <c r="J304" s="234">
        <f>'RAB inputs'!J76</f>
        <v>22853.451263697396</v>
      </c>
      <c r="K304" s="234"/>
      <c r="L304" s="234"/>
      <c r="M304" s="234"/>
      <c r="N304" s="234"/>
      <c r="O304" s="234"/>
    </row>
    <row r="305" spans="1:24">
      <c r="A305" s="232" t="s">
        <v>479</v>
      </c>
      <c r="B305" s="259" t="s">
        <v>40</v>
      </c>
      <c r="C305" s="232" t="s">
        <v>53</v>
      </c>
      <c r="D305" s="234"/>
      <c r="E305" s="234"/>
      <c r="F305" s="234"/>
      <c r="G305" s="234"/>
      <c r="H305" s="234"/>
      <c r="I305" s="234"/>
      <c r="J305" s="234"/>
      <c r="K305" s="234">
        <f>'FD forecasts'!D35</f>
        <v>150</v>
      </c>
      <c r="L305" s="234">
        <f>'FD forecasts'!E35</f>
        <v>150</v>
      </c>
      <c r="M305" s="234">
        <f>'FD forecasts'!F35</f>
        <v>150</v>
      </c>
      <c r="N305" s="234">
        <f>'FD forecasts'!G35</f>
        <v>150</v>
      </c>
      <c r="O305" s="234">
        <f>'FD forecasts'!H35</f>
        <v>150</v>
      </c>
    </row>
    <row r="307" spans="1:24">
      <c r="A307" s="65"/>
      <c r="B307" s="390"/>
      <c r="C307" s="391" t="s">
        <v>11</v>
      </c>
      <c r="D307" s="408" t="s">
        <v>331</v>
      </c>
      <c r="E307" s="395" t="s">
        <v>217</v>
      </c>
      <c r="F307" s="395" t="s">
        <v>217</v>
      </c>
      <c r="G307" s="395" t="s">
        <v>217</v>
      </c>
      <c r="H307" s="395" t="s">
        <v>217</v>
      </c>
      <c r="I307" s="395" t="s">
        <v>217</v>
      </c>
      <c r="J307" s="395" t="s">
        <v>217</v>
      </c>
      <c r="K307" s="395" t="s">
        <v>217</v>
      </c>
      <c r="L307" s="395" t="s">
        <v>217</v>
      </c>
      <c r="M307" s="395" t="s">
        <v>217</v>
      </c>
      <c r="N307" s="395" t="s">
        <v>217</v>
      </c>
      <c r="O307" s="395" t="s">
        <v>217</v>
      </c>
      <c r="P307" s="395" t="s">
        <v>217</v>
      </c>
      <c r="Q307" s="395" t="s">
        <v>217</v>
      </c>
      <c r="R307" s="395" t="s">
        <v>217</v>
      </c>
      <c r="S307" s="395" t="s">
        <v>217</v>
      </c>
      <c r="T307" s="395" t="s">
        <v>53</v>
      </c>
      <c r="U307" s="395" t="s">
        <v>53</v>
      </c>
      <c r="V307" s="395" t="s">
        <v>53</v>
      </c>
      <c r="W307" s="395" t="s">
        <v>53</v>
      </c>
      <c r="X307" s="395" t="s">
        <v>53</v>
      </c>
    </row>
    <row r="308" spans="1:24">
      <c r="B308" s="390"/>
      <c r="C308" s="391" t="s">
        <v>336</v>
      </c>
      <c r="D308" s="397">
        <v>39386</v>
      </c>
      <c r="E308" s="397">
        <v>39538</v>
      </c>
      <c r="F308" s="397">
        <v>39721</v>
      </c>
      <c r="G308" s="397">
        <v>40086</v>
      </c>
      <c r="H308" s="397">
        <v>40268</v>
      </c>
      <c r="I308" s="397">
        <v>40451</v>
      </c>
      <c r="J308" s="397">
        <v>40816</v>
      </c>
      <c r="K308" s="397">
        <v>41182</v>
      </c>
      <c r="L308" s="397">
        <v>41547</v>
      </c>
      <c r="M308" s="397">
        <v>41912</v>
      </c>
      <c r="N308" s="397">
        <v>42277</v>
      </c>
      <c r="O308" s="397">
        <v>42643</v>
      </c>
      <c r="P308" s="397">
        <v>43008</v>
      </c>
      <c r="Q308" s="397">
        <v>43373</v>
      </c>
      <c r="R308" s="397">
        <v>43738</v>
      </c>
      <c r="S308" s="397">
        <v>44104</v>
      </c>
      <c r="T308" s="397">
        <v>44469</v>
      </c>
      <c r="U308" s="397">
        <v>44834</v>
      </c>
      <c r="V308" s="397">
        <v>45199</v>
      </c>
      <c r="W308" s="397">
        <v>45565</v>
      </c>
      <c r="X308" s="397">
        <v>45930</v>
      </c>
    </row>
    <row r="309" spans="1:24">
      <c r="A309" s="65" t="s">
        <v>337</v>
      </c>
      <c r="B309" s="389" t="s">
        <v>10</v>
      </c>
      <c r="C309" s="391" t="s">
        <v>80</v>
      </c>
      <c r="D309" s="401" t="s">
        <v>331</v>
      </c>
      <c r="E309" s="402">
        <f t="shared" ref="E309:X309" si="65">MAX(0,(YEAR(E308)-YEAR(D308))*12+(MONTH(E308)-MONTH(D308)))</f>
        <v>5</v>
      </c>
      <c r="F309" s="402">
        <f t="shared" si="65"/>
        <v>6</v>
      </c>
      <c r="G309" s="402">
        <f t="shared" si="65"/>
        <v>12</v>
      </c>
      <c r="H309" s="402">
        <f t="shared" si="65"/>
        <v>6</v>
      </c>
      <c r="I309" s="402">
        <f t="shared" si="65"/>
        <v>6</v>
      </c>
      <c r="J309" s="402">
        <f t="shared" si="65"/>
        <v>12</v>
      </c>
      <c r="K309" s="402">
        <f t="shared" si="65"/>
        <v>12</v>
      </c>
      <c r="L309" s="402">
        <f t="shared" si="65"/>
        <v>12</v>
      </c>
      <c r="M309" s="402">
        <f t="shared" si="65"/>
        <v>12</v>
      </c>
      <c r="N309" s="402">
        <f t="shared" si="65"/>
        <v>12</v>
      </c>
      <c r="O309" s="402">
        <f t="shared" si="65"/>
        <v>12</v>
      </c>
      <c r="P309" s="402">
        <f t="shared" si="65"/>
        <v>12</v>
      </c>
      <c r="Q309" s="402">
        <f t="shared" si="65"/>
        <v>12</v>
      </c>
      <c r="R309" s="402">
        <f t="shared" si="65"/>
        <v>12</v>
      </c>
      <c r="S309" s="402">
        <f t="shared" si="65"/>
        <v>12</v>
      </c>
      <c r="T309" s="402">
        <f t="shared" si="65"/>
        <v>12</v>
      </c>
      <c r="U309" s="402">
        <f t="shared" si="65"/>
        <v>12</v>
      </c>
      <c r="V309" s="402">
        <f t="shared" si="65"/>
        <v>12</v>
      </c>
      <c r="W309" s="402">
        <f t="shared" si="65"/>
        <v>12</v>
      </c>
      <c r="X309" s="402">
        <f t="shared" si="65"/>
        <v>12</v>
      </c>
    </row>
    <row r="310" spans="1:24">
      <c r="A310" s="237">
        <v>42643</v>
      </c>
      <c r="B310" s="259" t="s">
        <v>40</v>
      </c>
      <c r="C310" s="232"/>
      <c r="D310" s="249"/>
      <c r="E310" s="249"/>
      <c r="F310" s="249"/>
      <c r="G310" s="249"/>
      <c r="H310" s="249"/>
      <c r="I310" s="249"/>
      <c r="J310" s="249"/>
      <c r="K310" s="249"/>
      <c r="L310" s="249"/>
      <c r="M310" s="249"/>
      <c r="N310" s="249"/>
      <c r="O310" s="249">
        <f>$F$303/N$24</f>
        <v>0</v>
      </c>
      <c r="P310" s="249">
        <f>$F$303/O$24</f>
        <v>0</v>
      </c>
      <c r="Q310" s="249">
        <f>$F$303/P$24</f>
        <v>0</v>
      </c>
      <c r="R310" s="249">
        <f>$F$303/Q$24</f>
        <v>0</v>
      </c>
      <c r="S310" s="249">
        <f>$F$303/R$24</f>
        <v>0</v>
      </c>
      <c r="T310" s="249"/>
      <c r="U310" s="249"/>
      <c r="V310" s="249"/>
      <c r="W310" s="249"/>
      <c r="X310" s="249"/>
    </row>
    <row r="311" spans="1:24">
      <c r="A311" s="237">
        <v>43008</v>
      </c>
      <c r="B311" s="259" t="s">
        <v>40</v>
      </c>
      <c r="C311" s="232"/>
      <c r="D311" s="249"/>
      <c r="E311" s="249"/>
      <c r="F311" s="249"/>
      <c r="G311" s="249"/>
      <c r="H311" s="249"/>
      <c r="I311" s="249"/>
      <c r="J311" s="249"/>
      <c r="K311" s="249"/>
      <c r="L311" s="249"/>
      <c r="M311" s="249"/>
      <c r="N311" s="249"/>
      <c r="O311" s="249"/>
      <c r="P311" s="249">
        <f>$G$303/O$24</f>
        <v>0</v>
      </c>
      <c r="Q311" s="249">
        <f>$G$303/P$24</f>
        <v>0</v>
      </c>
      <c r="R311" s="249">
        <f>$G$303/Q$24</f>
        <v>0</v>
      </c>
      <c r="S311" s="249">
        <f>$G$303/R$24</f>
        <v>0</v>
      </c>
      <c r="T311" s="249">
        <f>S311*K18</f>
        <v>0</v>
      </c>
      <c r="U311" s="249"/>
      <c r="V311" s="249"/>
      <c r="W311" s="249"/>
      <c r="X311" s="249"/>
    </row>
    <row r="312" spans="1:24">
      <c r="A312" s="237">
        <v>43373</v>
      </c>
      <c r="B312" s="259" t="s">
        <v>40</v>
      </c>
      <c r="C312" s="232"/>
      <c r="D312" s="249"/>
      <c r="E312" s="249"/>
      <c r="F312" s="249"/>
      <c r="G312" s="249"/>
      <c r="H312" s="249"/>
      <c r="I312" s="249"/>
      <c r="J312" s="249"/>
      <c r="K312" s="249"/>
      <c r="L312" s="249"/>
      <c r="M312" s="249"/>
      <c r="N312" s="249"/>
      <c r="O312" s="249"/>
      <c r="P312" s="249"/>
      <c r="Q312" s="249">
        <f>$H$303/P$24</f>
        <v>0</v>
      </c>
      <c r="R312" s="249">
        <f>$H$303/Q$24</f>
        <v>0</v>
      </c>
      <c r="S312" s="249">
        <f>$H$303/R$24</f>
        <v>0</v>
      </c>
      <c r="T312" s="249">
        <f>S312*K18</f>
        <v>0</v>
      </c>
      <c r="U312" s="249">
        <f>T312</f>
        <v>0</v>
      </c>
      <c r="V312" s="249"/>
      <c r="W312" s="249"/>
      <c r="X312" s="249"/>
    </row>
    <row r="313" spans="1:24">
      <c r="A313" s="237">
        <v>43738</v>
      </c>
      <c r="B313" s="259" t="s">
        <v>40</v>
      </c>
      <c r="C313" s="232"/>
      <c r="D313" s="249"/>
      <c r="E313" s="249"/>
      <c r="F313" s="249"/>
      <c r="G313" s="249"/>
      <c r="H313" s="249"/>
      <c r="I313" s="249"/>
      <c r="J313" s="249"/>
      <c r="K313" s="249"/>
      <c r="L313" s="249"/>
      <c r="M313" s="249"/>
      <c r="N313" s="249"/>
      <c r="O313" s="249"/>
      <c r="P313" s="249"/>
      <c r="Q313" s="249"/>
      <c r="R313" s="249">
        <f>$I$303/Q$24</f>
        <v>0</v>
      </c>
      <c r="S313" s="249">
        <f>$I$303/R$24</f>
        <v>0</v>
      </c>
      <c r="T313" s="249">
        <f>S313*K18</f>
        <v>0</v>
      </c>
      <c r="U313" s="249">
        <f>T313</f>
        <v>0</v>
      </c>
      <c r="V313" s="249">
        <f>U313</f>
        <v>0</v>
      </c>
      <c r="W313" s="249"/>
      <c r="X313" s="249"/>
    </row>
    <row r="314" spans="1:24">
      <c r="A314" s="237">
        <v>44104</v>
      </c>
      <c r="B314" s="259" t="s">
        <v>40</v>
      </c>
      <c r="C314" s="232"/>
      <c r="D314" s="249"/>
      <c r="E314" s="249"/>
      <c r="F314" s="249"/>
      <c r="G314" s="249"/>
      <c r="H314" s="249"/>
      <c r="I314" s="249"/>
      <c r="J314" s="249"/>
      <c r="K314" s="249"/>
      <c r="L314" s="249"/>
      <c r="M314" s="249"/>
      <c r="N314" s="249"/>
      <c r="O314" s="249"/>
      <c r="P314" s="249"/>
      <c r="Q314" s="249"/>
      <c r="R314" s="249"/>
      <c r="S314" s="249">
        <f>$J$304/R$24</f>
        <v>4570.6902527394795</v>
      </c>
      <c r="T314" s="249">
        <f>S314*K18</f>
        <v>5182.1243584249341</v>
      </c>
      <c r="U314" s="249">
        <f>T314</f>
        <v>5182.1243584249341</v>
      </c>
      <c r="V314" s="249">
        <f t="shared" ref="V314:W314" si="66">U314</f>
        <v>5182.1243584249341</v>
      </c>
      <c r="W314" s="249">
        <f t="shared" si="66"/>
        <v>5182.1243584249341</v>
      </c>
      <c r="X314" s="249"/>
    </row>
    <row r="315" spans="1:24">
      <c r="A315" s="237">
        <v>44469</v>
      </c>
      <c r="B315" s="259" t="s">
        <v>40</v>
      </c>
      <c r="C315" s="232"/>
      <c r="D315" s="249"/>
      <c r="E315" s="249"/>
      <c r="F315" s="249"/>
      <c r="G315" s="249"/>
      <c r="H315" s="249"/>
      <c r="I315" s="249"/>
      <c r="J315" s="249"/>
      <c r="K315" s="249"/>
      <c r="L315" s="249"/>
      <c r="M315" s="249"/>
      <c r="N315" s="249"/>
      <c r="O315" s="249"/>
      <c r="P315" s="249"/>
      <c r="Q315" s="249"/>
      <c r="R315" s="249"/>
      <c r="S315" s="249"/>
      <c r="T315" s="249">
        <f>$K$305/S$24</f>
        <v>30</v>
      </c>
      <c r="U315" s="249">
        <f>$K$305/T$24</f>
        <v>30</v>
      </c>
      <c r="V315" s="249">
        <f>$K$305/U$24</f>
        <v>30</v>
      </c>
      <c r="W315" s="249">
        <f>$K$305/V$24</f>
        <v>30</v>
      </c>
      <c r="X315" s="249">
        <f>$K$305/W$24</f>
        <v>30</v>
      </c>
    </row>
    <row r="316" spans="1:24">
      <c r="A316" s="237">
        <v>44834</v>
      </c>
      <c r="B316" s="259" t="s">
        <v>40</v>
      </c>
      <c r="C316" s="232"/>
      <c r="D316" s="249"/>
      <c r="E316" s="249"/>
      <c r="F316" s="249"/>
      <c r="G316" s="249"/>
      <c r="H316" s="249"/>
      <c r="I316" s="249"/>
      <c r="J316" s="249"/>
      <c r="K316" s="249"/>
      <c r="L316" s="249"/>
      <c r="M316" s="249"/>
      <c r="N316" s="249"/>
      <c r="O316" s="249"/>
      <c r="P316" s="249"/>
      <c r="Q316" s="249"/>
      <c r="R316" s="249"/>
      <c r="S316" s="249"/>
      <c r="T316" s="249"/>
      <c r="U316" s="249">
        <f>$L$305/T$24</f>
        <v>30</v>
      </c>
      <c r="V316" s="249">
        <f>$L$305/U$24</f>
        <v>30</v>
      </c>
      <c r="W316" s="249">
        <f>$L$305/V$24</f>
        <v>30</v>
      </c>
      <c r="X316" s="249">
        <f>$L$305/W$24</f>
        <v>30</v>
      </c>
    </row>
    <row r="317" spans="1:24">
      <c r="A317" s="237">
        <v>45199</v>
      </c>
      <c r="B317" s="259" t="s">
        <v>40</v>
      </c>
      <c r="C317" s="232"/>
      <c r="D317" s="249"/>
      <c r="E317" s="249"/>
      <c r="F317" s="249"/>
      <c r="G317" s="249"/>
      <c r="H317" s="249"/>
      <c r="I317" s="249"/>
      <c r="J317" s="249"/>
      <c r="K317" s="249"/>
      <c r="L317" s="249"/>
      <c r="M317" s="249"/>
      <c r="N317" s="249"/>
      <c r="O317" s="249"/>
      <c r="P317" s="249"/>
      <c r="Q317" s="249"/>
      <c r="R317" s="249"/>
      <c r="S317" s="249"/>
      <c r="T317" s="249"/>
      <c r="U317" s="249"/>
      <c r="V317" s="249">
        <f>$M$305/U$24</f>
        <v>30</v>
      </c>
      <c r="W317" s="249">
        <f>$M$305/V$24</f>
        <v>30</v>
      </c>
      <c r="X317" s="249">
        <f>$M$305/W$24</f>
        <v>30</v>
      </c>
    </row>
    <row r="318" spans="1:24">
      <c r="A318" s="237">
        <v>45565</v>
      </c>
      <c r="B318" s="259" t="s">
        <v>40</v>
      </c>
      <c r="C318" s="232"/>
      <c r="D318" s="249"/>
      <c r="E318" s="249"/>
      <c r="F318" s="249"/>
      <c r="G318" s="249"/>
      <c r="H318" s="249"/>
      <c r="I318" s="249"/>
      <c r="J318" s="249"/>
      <c r="K318" s="249"/>
      <c r="L318" s="249"/>
      <c r="M318" s="249"/>
      <c r="N318" s="249"/>
      <c r="O318" s="249"/>
      <c r="P318" s="249"/>
      <c r="Q318" s="249"/>
      <c r="R318" s="249"/>
      <c r="S318" s="249"/>
      <c r="T318" s="249"/>
      <c r="U318" s="249"/>
      <c r="V318" s="249"/>
      <c r="W318" s="249">
        <f>$N$305/V$24</f>
        <v>30</v>
      </c>
      <c r="X318" s="249">
        <f>$N$305/W$24</f>
        <v>30</v>
      </c>
    </row>
    <row r="319" spans="1:24">
      <c r="A319" s="237">
        <v>45930</v>
      </c>
      <c r="B319" s="259" t="s">
        <v>40</v>
      </c>
      <c r="C319" s="232"/>
      <c r="D319" s="249"/>
      <c r="E319" s="249"/>
      <c r="F319" s="249"/>
      <c r="G319" s="249"/>
      <c r="H319" s="249"/>
      <c r="I319" s="249"/>
      <c r="J319" s="249"/>
      <c r="K319" s="249"/>
      <c r="L319" s="249"/>
      <c r="M319" s="249"/>
      <c r="N319" s="249"/>
      <c r="O319" s="249"/>
      <c r="P319" s="249"/>
      <c r="Q319" s="249"/>
      <c r="R319" s="249"/>
      <c r="S319" s="249"/>
      <c r="T319" s="249"/>
      <c r="U319" s="249"/>
      <c r="V319" s="249"/>
      <c r="W319" s="249"/>
      <c r="X319" s="249">
        <f>$O$305/W$24</f>
        <v>30</v>
      </c>
    </row>
    <row r="321" spans="1:18">
      <c r="A321" s="65" t="s">
        <v>486</v>
      </c>
      <c r="B321" s="390"/>
      <c r="C321" s="391" t="s">
        <v>281</v>
      </c>
      <c r="D321" s="397">
        <v>39538</v>
      </c>
      <c r="E321" s="397">
        <v>39721</v>
      </c>
      <c r="F321" s="397">
        <v>40086</v>
      </c>
      <c r="G321" s="397">
        <v>40268</v>
      </c>
      <c r="H321" s="397">
        <v>40451</v>
      </c>
      <c r="I321" s="397">
        <v>40816</v>
      </c>
      <c r="J321" s="397">
        <v>41182</v>
      </c>
      <c r="K321" s="397">
        <v>41547</v>
      </c>
      <c r="L321" s="397">
        <v>41912</v>
      </c>
      <c r="M321" s="397">
        <v>42277</v>
      </c>
      <c r="N321" s="397">
        <v>42643</v>
      </c>
      <c r="O321" s="397">
        <v>43008</v>
      </c>
      <c r="P321" s="397">
        <v>43373</v>
      </c>
      <c r="Q321" s="397">
        <v>43738</v>
      </c>
      <c r="R321" s="397">
        <v>44104</v>
      </c>
    </row>
    <row r="322" spans="1:18">
      <c r="A322" s="65"/>
      <c r="B322" s="389" t="s">
        <v>10</v>
      </c>
      <c r="C322" s="389" t="s">
        <v>11</v>
      </c>
      <c r="D322" s="397"/>
      <c r="E322" s="397"/>
      <c r="F322" s="397"/>
      <c r="G322" s="397"/>
      <c r="H322" s="397"/>
      <c r="I322" s="397"/>
      <c r="J322" s="397"/>
      <c r="K322" s="397"/>
      <c r="L322" s="397"/>
      <c r="M322" s="397"/>
      <c r="N322" s="397"/>
      <c r="O322" s="397"/>
      <c r="P322" s="397"/>
      <c r="Q322" s="397"/>
      <c r="R322" s="397"/>
    </row>
    <row r="323" spans="1:18">
      <c r="A323" s="63" t="s">
        <v>39</v>
      </c>
      <c r="B323" s="259" t="s">
        <v>40</v>
      </c>
      <c r="C323" s="232" t="s">
        <v>217</v>
      </c>
      <c r="D323" s="234"/>
      <c r="E323" s="234"/>
      <c r="F323" s="234"/>
      <c r="G323" s="234"/>
      <c r="H323" s="234"/>
      <c r="I323" s="234"/>
      <c r="J323" s="234"/>
      <c r="K323" s="234"/>
      <c r="L323" s="234">
        <f>'RAB inputs'!D70</f>
        <v>0</v>
      </c>
      <c r="M323" s="234">
        <f t="shared" ref="M323:R323" si="67">L326</f>
        <v>0</v>
      </c>
      <c r="N323" s="234">
        <f t="shared" si="67"/>
        <v>0</v>
      </c>
      <c r="O323" s="234">
        <f t="shared" si="67"/>
        <v>0</v>
      </c>
      <c r="P323" s="234">
        <f t="shared" si="67"/>
        <v>0</v>
      </c>
      <c r="Q323" s="234">
        <f t="shared" si="67"/>
        <v>0</v>
      </c>
      <c r="R323" s="234">
        <f t="shared" si="67"/>
        <v>0</v>
      </c>
    </row>
    <row r="324" spans="1:18">
      <c r="A324" s="63" t="s">
        <v>59</v>
      </c>
      <c r="B324" s="259" t="s">
        <v>40</v>
      </c>
      <c r="C324" s="232" t="s">
        <v>217</v>
      </c>
      <c r="D324" s="234"/>
      <c r="E324" s="234"/>
      <c r="F324" s="234"/>
      <c r="G324" s="234"/>
      <c r="H324" s="234"/>
      <c r="I324" s="234"/>
      <c r="J324" s="234"/>
      <c r="K324" s="234"/>
      <c r="L324" s="234">
        <f t="shared" ref="L324:Q324" si="68">D303</f>
        <v>0</v>
      </c>
      <c r="M324" s="234">
        <f t="shared" si="68"/>
        <v>0</v>
      </c>
      <c r="N324" s="234">
        <f t="shared" si="68"/>
        <v>0</v>
      </c>
      <c r="O324" s="234">
        <f t="shared" si="68"/>
        <v>0</v>
      </c>
      <c r="P324" s="234">
        <f t="shared" si="68"/>
        <v>0</v>
      </c>
      <c r="Q324" s="234">
        <f t="shared" si="68"/>
        <v>0</v>
      </c>
      <c r="R324" s="234">
        <f>J304</f>
        <v>22853.451263697396</v>
      </c>
    </row>
    <row r="325" spans="1:18">
      <c r="A325" s="63" t="s">
        <v>60</v>
      </c>
      <c r="B325" s="259" t="s">
        <v>40</v>
      </c>
      <c r="C325" s="232" t="s">
        <v>217</v>
      </c>
      <c r="D325" s="234"/>
      <c r="E325" s="234"/>
      <c r="F325" s="234"/>
      <c r="G325" s="234"/>
      <c r="H325" s="234"/>
      <c r="I325" s="234"/>
      <c r="J325" s="234"/>
      <c r="K325" s="234"/>
      <c r="L325" s="234">
        <f t="shared" ref="L325:R325" si="69">SUM(M310:M314)</f>
        <v>0</v>
      </c>
      <c r="M325" s="234">
        <f t="shared" si="69"/>
        <v>0</v>
      </c>
      <c r="N325" s="234">
        <f t="shared" si="69"/>
        <v>0</v>
      </c>
      <c r="O325" s="234">
        <f t="shared" si="69"/>
        <v>0</v>
      </c>
      <c r="P325" s="234">
        <f t="shared" si="69"/>
        <v>0</v>
      </c>
      <c r="Q325" s="234">
        <f t="shared" si="69"/>
        <v>0</v>
      </c>
      <c r="R325" s="234">
        <f t="shared" si="69"/>
        <v>4570.6902527394795</v>
      </c>
    </row>
    <row r="326" spans="1:18">
      <c r="A326" s="63" t="s">
        <v>45</v>
      </c>
      <c r="B326" s="259" t="s">
        <v>40</v>
      </c>
      <c r="C326" s="232" t="s">
        <v>217</v>
      </c>
      <c r="D326" s="234"/>
      <c r="E326" s="234"/>
      <c r="F326" s="234"/>
      <c r="G326" s="234"/>
      <c r="H326" s="234"/>
      <c r="I326" s="234"/>
      <c r="J326" s="234"/>
      <c r="K326" s="234"/>
      <c r="L326" s="234">
        <f>L323+L324-L325</f>
        <v>0</v>
      </c>
      <c r="M326" s="234">
        <f t="shared" ref="M326:R326" si="70">M323+M324-M325</f>
        <v>0</v>
      </c>
      <c r="N326" s="234">
        <f t="shared" si="70"/>
        <v>0</v>
      </c>
      <c r="O326" s="234">
        <f t="shared" si="70"/>
        <v>0</v>
      </c>
      <c r="P326" s="234">
        <f t="shared" si="70"/>
        <v>0</v>
      </c>
      <c r="Q326" s="234">
        <f t="shared" si="70"/>
        <v>0</v>
      </c>
      <c r="R326" s="234">
        <f t="shared" si="70"/>
        <v>18282.761010957918</v>
      </c>
    </row>
    <row r="327" spans="1:18">
      <c r="A327" s="63" t="s">
        <v>46</v>
      </c>
      <c r="B327" s="259" t="s">
        <v>40</v>
      </c>
      <c r="C327" s="232" t="s">
        <v>217</v>
      </c>
      <c r="D327" s="234"/>
      <c r="E327" s="234"/>
      <c r="F327" s="234"/>
      <c r="G327" s="234"/>
      <c r="H327" s="234"/>
      <c r="I327" s="234"/>
      <c r="J327" s="234"/>
      <c r="K327" s="234"/>
      <c r="L327" s="234">
        <f t="shared" ref="L327:R327" si="71">AVERAGE(L323,L326)</f>
        <v>0</v>
      </c>
      <c r="M327" s="234">
        <f t="shared" si="71"/>
        <v>0</v>
      </c>
      <c r="N327" s="234">
        <f t="shared" si="71"/>
        <v>0</v>
      </c>
      <c r="O327" s="234">
        <f t="shared" si="71"/>
        <v>0</v>
      </c>
      <c r="P327" s="234">
        <f t="shared" si="71"/>
        <v>0</v>
      </c>
      <c r="Q327" s="234">
        <f t="shared" si="71"/>
        <v>0</v>
      </c>
      <c r="R327" s="234">
        <f t="shared" si="71"/>
        <v>9141.3805054789591</v>
      </c>
    </row>
    <row r="328" spans="1:18">
      <c r="D328" s="232"/>
      <c r="E328" s="232"/>
      <c r="F328" s="232"/>
      <c r="G328" s="232"/>
      <c r="H328" s="232"/>
    </row>
    <row r="329" spans="1:18">
      <c r="A329" s="65" t="s">
        <v>487</v>
      </c>
      <c r="B329" s="390"/>
      <c r="C329" s="391" t="s">
        <v>281</v>
      </c>
      <c r="D329" s="397">
        <v>44469</v>
      </c>
      <c r="E329" s="397">
        <v>44834</v>
      </c>
      <c r="F329" s="397">
        <v>45199</v>
      </c>
      <c r="G329" s="397">
        <v>45565</v>
      </c>
      <c r="H329" s="397">
        <v>45930</v>
      </c>
    </row>
    <row r="330" spans="1:18">
      <c r="A330" s="65"/>
      <c r="B330" s="389" t="s">
        <v>10</v>
      </c>
      <c r="C330" s="389" t="s">
        <v>11</v>
      </c>
      <c r="D330" s="397"/>
      <c r="E330" s="397"/>
      <c r="F330" s="397"/>
      <c r="G330" s="397"/>
      <c r="H330" s="397"/>
    </row>
    <row r="331" spans="1:18">
      <c r="A331" s="63" t="s">
        <v>39</v>
      </c>
      <c r="B331" s="259" t="s">
        <v>40</v>
      </c>
      <c r="C331" s="232" t="s">
        <v>53</v>
      </c>
      <c r="D331" s="234">
        <f>R326*K18</f>
        <v>20728.497433699737</v>
      </c>
      <c r="E331" s="234">
        <f t="shared" ref="E331" si="72">D334</f>
        <v>15666.373075274802</v>
      </c>
      <c r="F331" s="234">
        <f t="shared" ref="F331" si="73">E334</f>
        <v>10574.248716849866</v>
      </c>
      <c r="G331" s="234">
        <f t="shared" ref="G331:H331" si="74">F334</f>
        <v>5452.1243584249323</v>
      </c>
      <c r="H331" s="234">
        <f t="shared" si="74"/>
        <v>299.99999999999818</v>
      </c>
    </row>
    <row r="332" spans="1:18">
      <c r="A332" s="63" t="s">
        <v>59</v>
      </c>
      <c r="B332" s="259" t="s">
        <v>40</v>
      </c>
      <c r="C332" s="232" t="s">
        <v>53</v>
      </c>
      <c r="D332" s="234">
        <f>K305</f>
        <v>150</v>
      </c>
      <c r="E332" s="234">
        <f>L305</f>
        <v>150</v>
      </c>
      <c r="F332" s="234">
        <f>M305</f>
        <v>150</v>
      </c>
      <c r="G332" s="234">
        <f>N305</f>
        <v>150</v>
      </c>
      <c r="H332" s="234">
        <f>O305</f>
        <v>150</v>
      </c>
    </row>
    <row r="333" spans="1:18">
      <c r="A333" s="63" t="s">
        <v>60</v>
      </c>
      <c r="B333" s="259" t="s">
        <v>40</v>
      </c>
      <c r="C333" s="232" t="s">
        <v>53</v>
      </c>
      <c r="D333" s="234">
        <f>SUM(T310:T319)</f>
        <v>5212.1243584249341</v>
      </c>
      <c r="E333" s="234">
        <f>SUM(U310:U319)</f>
        <v>5242.1243584249341</v>
      </c>
      <c r="F333" s="234">
        <f>SUM(V310:V319)</f>
        <v>5272.1243584249341</v>
      </c>
      <c r="G333" s="234">
        <f>SUM(W310:W319)</f>
        <v>5302.1243584249341</v>
      </c>
      <c r="H333" s="234">
        <f>SUM(X310:X319)</f>
        <v>150</v>
      </c>
    </row>
    <row r="334" spans="1:18">
      <c r="A334" s="63" t="s">
        <v>45</v>
      </c>
      <c r="B334" s="259" t="s">
        <v>40</v>
      </c>
      <c r="C334" s="232" t="s">
        <v>53</v>
      </c>
      <c r="D334" s="234">
        <f t="shared" ref="D334:H334" si="75">D331+D332-D333</f>
        <v>15666.373075274802</v>
      </c>
      <c r="E334" s="234">
        <f t="shared" si="75"/>
        <v>10574.248716849866</v>
      </c>
      <c r="F334" s="234">
        <f t="shared" si="75"/>
        <v>5452.1243584249323</v>
      </c>
      <c r="G334" s="234">
        <f t="shared" si="75"/>
        <v>299.99999999999818</v>
      </c>
      <c r="H334" s="234">
        <f t="shared" si="75"/>
        <v>299.99999999999818</v>
      </c>
    </row>
    <row r="335" spans="1:18">
      <c r="A335" s="63" t="s">
        <v>46</v>
      </c>
      <c r="B335" s="259" t="s">
        <v>40</v>
      </c>
      <c r="C335" s="232" t="s">
        <v>53</v>
      </c>
      <c r="D335" s="234">
        <f t="shared" ref="D335:H335" si="76">AVERAGE(D331,D334)</f>
        <v>18197.435254487267</v>
      </c>
      <c r="E335" s="234">
        <f t="shared" si="76"/>
        <v>13120.310896062334</v>
      </c>
      <c r="F335" s="234">
        <f t="shared" si="76"/>
        <v>8013.1865376373989</v>
      </c>
      <c r="G335" s="234">
        <f t="shared" si="76"/>
        <v>2876.0621792124653</v>
      </c>
      <c r="H335" s="234">
        <f t="shared" si="76"/>
        <v>299.99999999999818</v>
      </c>
    </row>
    <row r="337" spans="1:18" ht="18">
      <c r="A337" s="256" t="s">
        <v>321</v>
      </c>
      <c r="B337" s="257"/>
      <c r="C337"/>
      <c r="D337"/>
      <c r="E337"/>
      <c r="F337"/>
      <c r="G337"/>
      <c r="H337"/>
      <c r="I337"/>
      <c r="J337"/>
      <c r="K337"/>
      <c r="L337"/>
      <c r="M337"/>
      <c r="N337"/>
      <c r="O337"/>
      <c r="P337"/>
      <c r="Q337"/>
      <c r="R337"/>
    </row>
    <row r="338" spans="1:18">
      <c r="B338" s="390"/>
      <c r="C338" s="391" t="s">
        <v>11</v>
      </c>
      <c r="D338" s="395" t="s">
        <v>217</v>
      </c>
      <c r="E338" s="395" t="s">
        <v>217</v>
      </c>
      <c r="F338" s="395" t="s">
        <v>217</v>
      </c>
      <c r="G338" s="395" t="s">
        <v>217</v>
      </c>
      <c r="H338" s="395" t="s">
        <v>217</v>
      </c>
      <c r="I338" s="395" t="s">
        <v>217</v>
      </c>
      <c r="J338" s="395" t="s">
        <v>217</v>
      </c>
      <c r="K338" s="395" t="s">
        <v>217</v>
      </c>
      <c r="L338" s="395" t="s">
        <v>217</v>
      </c>
      <c r="M338" s="395" t="s">
        <v>217</v>
      </c>
      <c r="N338" s="395" t="s">
        <v>53</v>
      </c>
      <c r="O338" s="395" t="s">
        <v>53</v>
      </c>
      <c r="P338" s="395" t="s">
        <v>53</v>
      </c>
      <c r="Q338" s="395" t="s">
        <v>53</v>
      </c>
      <c r="R338" s="395" t="s">
        <v>53</v>
      </c>
    </row>
    <row r="339" spans="1:18">
      <c r="A339" s="65" t="s">
        <v>329</v>
      </c>
      <c r="B339" s="389" t="s">
        <v>10</v>
      </c>
      <c r="C339" s="389"/>
      <c r="D339" s="388" t="s">
        <v>35</v>
      </c>
      <c r="E339" s="388" t="s">
        <v>36</v>
      </c>
      <c r="F339" s="388" t="s">
        <v>37</v>
      </c>
      <c r="G339" s="388" t="s">
        <v>15</v>
      </c>
      <c r="H339" s="388" t="s">
        <v>16</v>
      </c>
      <c r="I339" s="388" t="s">
        <v>0</v>
      </c>
      <c r="J339" s="388" t="s">
        <v>1</v>
      </c>
      <c r="K339" s="388" t="s">
        <v>2</v>
      </c>
      <c r="L339" s="388" t="s">
        <v>3</v>
      </c>
      <c r="M339" s="388" t="s">
        <v>4</v>
      </c>
      <c r="N339" s="388" t="s">
        <v>5</v>
      </c>
      <c r="O339" s="388" t="s">
        <v>6</v>
      </c>
      <c r="P339" s="388" t="s">
        <v>7</v>
      </c>
      <c r="Q339" s="388" t="s">
        <v>8</v>
      </c>
      <c r="R339" s="388" t="s">
        <v>9</v>
      </c>
    </row>
    <row r="340" spans="1:18">
      <c r="A340" s="232" t="s">
        <v>322</v>
      </c>
      <c r="B340" s="259" t="s">
        <v>40</v>
      </c>
      <c r="C340"/>
      <c r="D340" s="234">
        <f>RAB!I217</f>
        <v>20635.531193930885</v>
      </c>
      <c r="E340" s="234">
        <f>RAB!J217</f>
        <v>18126.835687343329</v>
      </c>
      <c r="F340" s="234">
        <f>RAB!K217</f>
        <v>15821.779178736026</v>
      </c>
      <c r="G340" s="234">
        <f>RAB!L217</f>
        <v>12329.246935164629</v>
      </c>
      <c r="H340" s="234">
        <f>RAB!M217</f>
        <v>10028.13552866684</v>
      </c>
      <c r="I340" s="234">
        <f>RAB!N217</f>
        <v>6430.878756370128</v>
      </c>
      <c r="J340" s="234">
        <f>RAB!O217</f>
        <v>4123.9282629995923</v>
      </c>
      <c r="K340" s="234">
        <f>RAB!P217</f>
        <v>3330.6208052760635</v>
      </c>
      <c r="L340" s="234">
        <f>RAB!Q217</f>
        <v>2706.5626942784347</v>
      </c>
      <c r="M340" s="234">
        <f>RAB!R217</f>
        <v>2199.5379535710426</v>
      </c>
      <c r="N340" s="234">
        <f>RAB!D253</f>
        <v>2173.3083162634766</v>
      </c>
      <c r="O340" s="234">
        <f>RAB!E253</f>
        <v>5690.3512496569911</v>
      </c>
      <c r="P340" s="234">
        <f>RAB!F253</f>
        <v>8479.1304639704849</v>
      </c>
      <c r="Q340" s="234">
        <f>RAB!G253</f>
        <v>8469.3953759820542</v>
      </c>
      <c r="R340" s="234">
        <f>RAB!H253</f>
        <v>7897.0475704366754</v>
      </c>
    </row>
    <row r="341" spans="1:18">
      <c r="A341" s="232" t="s">
        <v>59</v>
      </c>
      <c r="B341" s="259" t="s">
        <v>40</v>
      </c>
      <c r="C341"/>
      <c r="D341" s="234">
        <f>RAB!I218+RAB!I219</f>
        <v>1013.3891382405744</v>
      </c>
      <c r="E341" s="234">
        <f>RAB!J218+RAB!J219</f>
        <v>1365.722621184919</v>
      </c>
      <c r="F341" s="234">
        <f>RAB!K218+RAB!K219</f>
        <v>281.17818671454216</v>
      </c>
      <c r="G341" s="234">
        <f>RAB!L218+RAB!L219</f>
        <v>1589.5175044883301</v>
      </c>
      <c r="H341" s="234">
        <f>RAB!M218+RAB!M219</f>
        <v>418.89811490125669</v>
      </c>
      <c r="I341" s="234">
        <f>RAB!N218+RAB!N219</f>
        <v>1161.5558530986993</v>
      </c>
      <c r="J341" s="234">
        <f>RAB!O218+RAB!O219</f>
        <v>1011.59859571323</v>
      </c>
      <c r="K341" s="234">
        <f>RAB!P218+RAB!P219</f>
        <v>714.96585627457989</v>
      </c>
      <c r="L341" s="234">
        <f>RAB!Q218+RAB!Q219</f>
        <v>1144.9293199167246</v>
      </c>
      <c r="M341" s="234">
        <f>RAB!R218+RAB!R219</f>
        <v>1445.7902315447709</v>
      </c>
      <c r="N341" s="234">
        <f>RAB!D254</f>
        <v>4899.2880820571754</v>
      </c>
      <c r="O341" s="234">
        <f>RAB!E254</f>
        <v>4905.0742525586629</v>
      </c>
      <c r="P341" s="234">
        <f>RAB!F254</f>
        <v>2668.1268793971562</v>
      </c>
      <c r="Q341" s="234">
        <f>RAB!G254</f>
        <v>2401.6188785135851</v>
      </c>
      <c r="R341" s="234">
        <f>RAB!H254</f>
        <v>2231.9843349734192</v>
      </c>
    </row>
    <row r="342" spans="1:18">
      <c r="A342" s="232" t="s">
        <v>60</v>
      </c>
      <c r="B342" s="259" t="s">
        <v>40</v>
      </c>
      <c r="C342"/>
      <c r="D342" s="234">
        <f>RAB!I220</f>
        <v>3522.08464482813</v>
      </c>
      <c r="E342" s="234">
        <f>RAB!J220</f>
        <v>3670.7791297922236</v>
      </c>
      <c r="F342" s="234">
        <f>RAB!K220</f>
        <v>3773.7104302859398</v>
      </c>
      <c r="G342" s="234">
        <f>RAB!L220</f>
        <v>3890.6289109861195</v>
      </c>
      <c r="H342" s="234">
        <f>RAB!M220</f>
        <v>4016.1548871979685</v>
      </c>
      <c r="I342" s="234">
        <f>RAB!N220</f>
        <v>3468.5063464692344</v>
      </c>
      <c r="J342" s="234">
        <f>RAB!O220</f>
        <v>1804.9060534367586</v>
      </c>
      <c r="K342" s="234">
        <f>RAB!P220</f>
        <v>1339.0239672722089</v>
      </c>
      <c r="L342" s="234">
        <f>RAB!Q220</f>
        <v>1651.9540606241169</v>
      </c>
      <c r="M342" s="234">
        <f>RAB!R220</f>
        <v>1728.446526111718</v>
      </c>
      <c r="N342" s="234">
        <f>RAB!D255+RAB!D256</f>
        <v>1382.2451486636617</v>
      </c>
      <c r="O342" s="234">
        <f>RAB!E255+RAB!E256</f>
        <v>2116.2950382451695</v>
      </c>
      <c r="P342" s="234">
        <f>RAB!F255+RAB!F256</f>
        <v>2677.861967385586</v>
      </c>
      <c r="Q342" s="234">
        <f>RAB!G255+RAB!G256</f>
        <v>2973.9666840589643</v>
      </c>
      <c r="R342" s="234">
        <f>RAB!H255+RAB!H256</f>
        <v>3143.5982653026067</v>
      </c>
    </row>
    <row r="343" spans="1:18">
      <c r="A343" s="232" t="s">
        <v>323</v>
      </c>
      <c r="B343" s="259" t="s">
        <v>40</v>
      </c>
      <c r="C343"/>
      <c r="D343" s="234">
        <f>RAB!I221</f>
        <v>18126.835687343329</v>
      </c>
      <c r="E343" s="234">
        <f>RAB!J221</f>
        <v>15821.779178736026</v>
      </c>
      <c r="F343" s="234">
        <f>RAB!K221</f>
        <v>12329.246935164629</v>
      </c>
      <c r="G343" s="234">
        <f>RAB!L221</f>
        <v>10028.13552866684</v>
      </c>
      <c r="H343" s="234">
        <f>RAB!M221</f>
        <v>6430.878756370128</v>
      </c>
      <c r="I343" s="234">
        <f>RAB!N221</f>
        <v>4123.9282629995923</v>
      </c>
      <c r="J343" s="234">
        <f>RAB!O221</f>
        <v>3330.6208052760635</v>
      </c>
      <c r="K343" s="234">
        <f>RAB!P221</f>
        <v>2706.5626942784347</v>
      </c>
      <c r="L343" s="234">
        <f>RAB!Q221</f>
        <v>2199.5379535710426</v>
      </c>
      <c r="M343" s="234">
        <f>RAB!R221</f>
        <v>1916.8816590040956</v>
      </c>
      <c r="N343" s="234">
        <f>RAB!D257</f>
        <v>5690.3512496569911</v>
      </c>
      <c r="O343" s="234">
        <f>RAB!E257</f>
        <v>8479.1304639704849</v>
      </c>
      <c r="P343" s="234">
        <f>RAB!F257</f>
        <v>8469.3953759820542</v>
      </c>
      <c r="Q343" s="234">
        <f>RAB!G257</f>
        <v>7897.0475704366754</v>
      </c>
      <c r="R343" s="234">
        <f>RAB!H257</f>
        <v>6985.4336401074879</v>
      </c>
    </row>
    <row r="344" spans="1:18">
      <c r="A344" s="232" t="s">
        <v>236</v>
      </c>
      <c r="B344" s="259" t="s">
        <v>40</v>
      </c>
      <c r="C344"/>
      <c r="D344" s="234">
        <f>RAB!I222</f>
        <v>19381.183440637105</v>
      </c>
      <c r="E344" s="234">
        <f>RAB!J222</f>
        <v>16974.307433039678</v>
      </c>
      <c r="F344" s="234">
        <f>RAB!K222</f>
        <v>14075.513056950327</v>
      </c>
      <c r="G344" s="234">
        <f>RAB!L222</f>
        <v>11178.691231915735</v>
      </c>
      <c r="H344" s="234">
        <f>RAB!M222</f>
        <v>8229.5071425184833</v>
      </c>
      <c r="I344" s="234">
        <f>RAB!N222</f>
        <v>5277.4035096848602</v>
      </c>
      <c r="J344" s="234">
        <f>RAB!O222</f>
        <v>3727.2745341378277</v>
      </c>
      <c r="K344" s="234">
        <f>RAB!P222</f>
        <v>3018.5917497772489</v>
      </c>
      <c r="L344" s="234">
        <f>RAB!Q222</f>
        <v>2453.0503239247387</v>
      </c>
      <c r="M344" s="234">
        <f>RAB!R222</f>
        <v>2058.2098062875693</v>
      </c>
      <c r="N344" s="234">
        <f>RAB!D258</f>
        <v>3931.8297829602338</v>
      </c>
      <c r="O344" s="234">
        <f>RAB!E258</f>
        <v>7084.740856813738</v>
      </c>
      <c r="P344" s="234">
        <f>RAB!F258</f>
        <v>8474.2629199762705</v>
      </c>
      <c r="Q344" s="234">
        <f>RAB!G258</f>
        <v>8183.2214732093653</v>
      </c>
      <c r="R344" s="234">
        <f>RAB!H258</f>
        <v>7441.2406052720817</v>
      </c>
    </row>
    <row r="346" spans="1:18">
      <c r="B346" s="390"/>
      <c r="C346" s="391" t="s">
        <v>11</v>
      </c>
      <c r="D346" s="395" t="s">
        <v>217</v>
      </c>
      <c r="E346" s="395" t="s">
        <v>217</v>
      </c>
      <c r="F346" s="395" t="s">
        <v>217</v>
      </c>
      <c r="G346" s="395" t="s">
        <v>217</v>
      </c>
      <c r="H346" s="395" t="s">
        <v>217</v>
      </c>
      <c r="I346" s="395" t="s">
        <v>217</v>
      </c>
      <c r="J346" s="395" t="s">
        <v>217</v>
      </c>
      <c r="K346" s="395" t="s">
        <v>217</v>
      </c>
      <c r="L346" s="395" t="s">
        <v>217</v>
      </c>
      <c r="M346" s="395" t="s">
        <v>217</v>
      </c>
      <c r="N346" s="395" t="s">
        <v>53</v>
      </c>
      <c r="O346" s="395" t="s">
        <v>53</v>
      </c>
      <c r="P346" s="395" t="s">
        <v>53</v>
      </c>
      <c r="Q346" s="395" t="s">
        <v>53</v>
      </c>
      <c r="R346" s="395" t="s">
        <v>53</v>
      </c>
    </row>
    <row r="347" spans="1:18">
      <c r="A347" s="65" t="s">
        <v>330</v>
      </c>
      <c r="B347" s="389" t="s">
        <v>10</v>
      </c>
      <c r="C347" s="389"/>
      <c r="D347" s="388" t="s">
        <v>35</v>
      </c>
      <c r="E347" s="388" t="s">
        <v>36</v>
      </c>
      <c r="F347" s="388" t="s">
        <v>37</v>
      </c>
      <c r="G347" s="388" t="s">
        <v>15</v>
      </c>
      <c r="H347" s="388" t="s">
        <v>16</v>
      </c>
      <c r="I347" s="388" t="s">
        <v>0</v>
      </c>
      <c r="J347" s="388" t="s">
        <v>1</v>
      </c>
      <c r="K347" s="388" t="s">
        <v>2</v>
      </c>
      <c r="L347" s="388" t="s">
        <v>3</v>
      </c>
      <c r="M347" s="388" t="s">
        <v>4</v>
      </c>
      <c r="N347" s="388" t="s">
        <v>5</v>
      </c>
      <c r="O347" s="388" t="s">
        <v>6</v>
      </c>
      <c r="P347" s="388" t="s">
        <v>7</v>
      </c>
      <c r="Q347" s="388" t="s">
        <v>8</v>
      </c>
      <c r="R347" s="388" t="s">
        <v>9</v>
      </c>
    </row>
    <row r="348" spans="1:18">
      <c r="A348" s="232" t="s">
        <v>322</v>
      </c>
      <c r="B348" s="259" t="s">
        <v>40</v>
      </c>
      <c r="C348"/>
      <c r="D348" s="234">
        <f>RAB!I225</f>
        <v>0</v>
      </c>
      <c r="E348" s="234">
        <f>RAB!J225</f>
        <v>1425.0110502692996</v>
      </c>
      <c r="F348" s="234">
        <f>RAB!K225</f>
        <v>2791.8583842010771</v>
      </c>
      <c r="G348" s="234">
        <f>RAB!L225</f>
        <v>2675.5309515260324</v>
      </c>
      <c r="H348" s="234">
        <f>RAB!M225</f>
        <v>2559.2035188509876</v>
      </c>
      <c r="I348" s="234">
        <f>RAB!N225</f>
        <v>2442.8760861759429</v>
      </c>
      <c r="J348" s="234">
        <f>RAB!O225</f>
        <v>2382.5801879675259</v>
      </c>
      <c r="K348" s="234">
        <f>RAB!P225</f>
        <v>2275.095214213994</v>
      </c>
      <c r="L348" s="234">
        <f>RAB!Q225</f>
        <v>2180.8648403259767</v>
      </c>
      <c r="M348" s="234">
        <f>RAB!R225</f>
        <v>2073.5838263374899</v>
      </c>
      <c r="N348" s="234">
        <f>RAB!D261</f>
        <v>2202.4221778593246</v>
      </c>
      <c r="O348" s="234">
        <f>RAB!E261</f>
        <v>2118.0953857001009</v>
      </c>
      <c r="P348" s="234">
        <f>RAB!F261</f>
        <v>2031.8685935408769</v>
      </c>
      <c r="Q348" s="234">
        <f>RAB!G261</f>
        <v>1906.991801381653</v>
      </c>
      <c r="R348" s="234">
        <f>RAB!H261</f>
        <v>1781.715009222429</v>
      </c>
    </row>
    <row r="349" spans="1:18">
      <c r="A349" s="232" t="s">
        <v>59</v>
      </c>
      <c r="B349" s="259" t="s">
        <v>40</v>
      </c>
      <c r="C349"/>
      <c r="D349" s="234">
        <f>RAB!I226+RAB!I227</f>
        <v>1454.0929084380609</v>
      </c>
      <c r="E349" s="234">
        <f>RAB!J226+RAB!J227</f>
        <v>1454.0929084380609</v>
      </c>
      <c r="F349" s="234">
        <f>RAB!K226+RAB!K227</f>
        <v>0</v>
      </c>
      <c r="G349" s="234">
        <f>RAB!L226+RAB!L227</f>
        <v>0</v>
      </c>
      <c r="H349" s="234">
        <f>RAB!M226+RAB!M227</f>
        <v>0</v>
      </c>
      <c r="I349" s="234">
        <f>RAB!N226+RAB!N227</f>
        <v>95.863045141545527</v>
      </c>
      <c r="J349" s="234">
        <f>RAB!O226+RAB!O227</f>
        <v>12.284183296378417</v>
      </c>
      <c r="K349" s="234">
        <f>RAB!P226+RAB!P227</f>
        <v>7.7706471219163387</v>
      </c>
      <c r="L349" s="234">
        <f>RAB!Q226+RAB!Q227</f>
        <v>17.301006245662734</v>
      </c>
      <c r="M349" s="234">
        <f>RAB!R226+RAB!R227</f>
        <v>0</v>
      </c>
      <c r="N349" s="234">
        <f>RAB!D262</f>
        <v>47.5</v>
      </c>
      <c r="O349" s="234">
        <f>RAB!E262</f>
        <v>47.5</v>
      </c>
      <c r="P349" s="234">
        <f>RAB!F262</f>
        <v>10</v>
      </c>
      <c r="Q349" s="234">
        <f>RAB!G262</f>
        <v>10</v>
      </c>
      <c r="R349" s="234">
        <f>RAB!H262</f>
        <v>10</v>
      </c>
    </row>
    <row r="350" spans="1:18">
      <c r="A350" s="232" t="s">
        <v>60</v>
      </c>
      <c r="B350" s="259" t="s">
        <v>40</v>
      </c>
      <c r="C350"/>
      <c r="D350" s="234">
        <f>RAB!I228</f>
        <v>29.081858168761219</v>
      </c>
      <c r="E350" s="234">
        <f>RAB!J228</f>
        <v>87.24557450628366</v>
      </c>
      <c r="F350" s="234">
        <f>RAB!K228</f>
        <v>116.32743267504488</v>
      </c>
      <c r="G350" s="234">
        <f>RAB!L228</f>
        <v>116.32743267504488</v>
      </c>
      <c r="H350" s="234">
        <f>RAB!M228</f>
        <v>116.32743267504488</v>
      </c>
      <c r="I350" s="234">
        <f>RAB!N228</f>
        <v>156.15894334996273</v>
      </c>
      <c r="J350" s="234">
        <f>RAB!O228</f>
        <v>119.76915704991052</v>
      </c>
      <c r="K350" s="234">
        <f>RAB!P228</f>
        <v>102.00102100993359</v>
      </c>
      <c r="L350" s="234">
        <f>RAB!Q228</f>
        <v>124.58202023414968</v>
      </c>
      <c r="M350" s="234">
        <f>RAB!R228</f>
        <v>131.02342359591407</v>
      </c>
      <c r="N350" s="234">
        <f>RAB!D263+RAB!D264</f>
        <v>131.82679215922394</v>
      </c>
      <c r="O350" s="234">
        <f>RAB!E263+RAB!E264</f>
        <v>133.72679215922392</v>
      </c>
      <c r="P350" s="234">
        <f>RAB!F263+RAB!F264</f>
        <v>134.87679215922395</v>
      </c>
      <c r="Q350" s="234">
        <f>RAB!G263+RAB!G264</f>
        <v>135.27679215922393</v>
      </c>
      <c r="R350" s="234">
        <f>RAB!H263+RAB!H264</f>
        <v>135.67679215922396</v>
      </c>
    </row>
    <row r="351" spans="1:18">
      <c r="A351" s="232" t="s">
        <v>323</v>
      </c>
      <c r="B351" s="259" t="s">
        <v>40</v>
      </c>
      <c r="C351"/>
      <c r="D351" s="234">
        <f>RAB!I229</f>
        <v>1425.0110502692996</v>
      </c>
      <c r="E351" s="234">
        <f>RAB!J229</f>
        <v>2791.8583842010771</v>
      </c>
      <c r="F351" s="234">
        <f>RAB!K229</f>
        <v>2675.5309515260324</v>
      </c>
      <c r="G351" s="234">
        <f>RAB!L229</f>
        <v>2559.2035188509876</v>
      </c>
      <c r="H351" s="234">
        <f>RAB!M229</f>
        <v>2442.8760861759429</v>
      </c>
      <c r="I351" s="234">
        <f>RAB!N229</f>
        <v>2382.5801879675259</v>
      </c>
      <c r="J351" s="234">
        <f>RAB!O229</f>
        <v>2275.095214213994</v>
      </c>
      <c r="K351" s="234">
        <f>RAB!P229</f>
        <v>2180.8648403259767</v>
      </c>
      <c r="L351" s="234">
        <f>RAB!Q229</f>
        <v>2073.5838263374899</v>
      </c>
      <c r="M351" s="234">
        <f>RAB!R229</f>
        <v>1942.5604027415759</v>
      </c>
      <c r="N351" s="234">
        <f>RAB!D265</f>
        <v>2118.0953857001009</v>
      </c>
      <c r="O351" s="234">
        <f>RAB!E265</f>
        <v>2031.8685935408769</v>
      </c>
      <c r="P351" s="234">
        <f>RAB!F265</f>
        <v>1906.991801381653</v>
      </c>
      <c r="Q351" s="234">
        <f>RAB!G265</f>
        <v>1781.715009222429</v>
      </c>
      <c r="R351" s="234">
        <f>RAB!H265</f>
        <v>1656.0382170632049</v>
      </c>
    </row>
    <row r="352" spans="1:18">
      <c r="A352" s="232" t="s">
        <v>236</v>
      </c>
      <c r="B352" s="259" t="s">
        <v>40</v>
      </c>
      <c r="C352"/>
      <c r="D352" s="234">
        <f>RAB!I230</f>
        <v>712.50552513464982</v>
      </c>
      <c r="E352" s="234">
        <f>RAB!J230</f>
        <v>2108.4347172351881</v>
      </c>
      <c r="F352" s="234">
        <f>RAB!K230</f>
        <v>2733.694667863555</v>
      </c>
      <c r="G352" s="234">
        <f>RAB!L230</f>
        <v>2617.3672351885098</v>
      </c>
      <c r="H352" s="234">
        <f>RAB!M230</f>
        <v>2501.0398025134655</v>
      </c>
      <c r="I352" s="234">
        <f>RAB!N230</f>
        <v>2412.7281370717346</v>
      </c>
      <c r="J352" s="234">
        <f>RAB!O230</f>
        <v>2328.8377010907598</v>
      </c>
      <c r="K352" s="234">
        <f>RAB!P230</f>
        <v>2227.9800272699854</v>
      </c>
      <c r="L352" s="234">
        <f>RAB!Q230</f>
        <v>2127.2243333317333</v>
      </c>
      <c r="M352" s="234">
        <f>RAB!R230</f>
        <v>2008.0721145395328</v>
      </c>
      <c r="N352" s="234">
        <f>RAB!D266</f>
        <v>2160.258781779713</v>
      </c>
      <c r="O352" s="234">
        <f>RAB!E266</f>
        <v>2074.981989620489</v>
      </c>
      <c r="P352" s="234">
        <f>RAB!F266</f>
        <v>1969.4301974612649</v>
      </c>
      <c r="Q352" s="234">
        <f>RAB!G266</f>
        <v>1844.353405302041</v>
      </c>
      <c r="R352" s="234">
        <f>RAB!H266</f>
        <v>1718.876613142817</v>
      </c>
    </row>
    <row r="354" spans="1:18">
      <c r="B354" s="390"/>
      <c r="C354" s="391" t="s">
        <v>11</v>
      </c>
      <c r="D354" s="395" t="s">
        <v>217</v>
      </c>
      <c r="E354" s="395" t="s">
        <v>217</v>
      </c>
      <c r="F354" s="395" t="s">
        <v>217</v>
      </c>
      <c r="G354" s="395" t="s">
        <v>217</v>
      </c>
      <c r="H354" s="395" t="s">
        <v>217</v>
      </c>
      <c r="I354" s="395" t="s">
        <v>217</v>
      </c>
      <c r="J354" s="395" t="s">
        <v>217</v>
      </c>
      <c r="K354" s="395" t="s">
        <v>217</v>
      </c>
      <c r="L354" s="395" t="s">
        <v>217</v>
      </c>
      <c r="M354" s="395" t="s">
        <v>217</v>
      </c>
      <c r="N354" s="395" t="s">
        <v>53</v>
      </c>
      <c r="O354" s="395" t="s">
        <v>53</v>
      </c>
      <c r="P354" s="395" t="s">
        <v>53</v>
      </c>
      <c r="Q354" s="395" t="s">
        <v>53</v>
      </c>
      <c r="R354" s="395" t="s">
        <v>53</v>
      </c>
    </row>
    <row r="355" spans="1:18">
      <c r="A355" s="65" t="s">
        <v>338</v>
      </c>
      <c r="B355" s="389" t="s">
        <v>10</v>
      </c>
      <c r="C355" s="389"/>
      <c r="D355" s="388" t="s">
        <v>35</v>
      </c>
      <c r="E355" s="388" t="s">
        <v>36</v>
      </c>
      <c r="F355" s="388" t="s">
        <v>37</v>
      </c>
      <c r="G355" s="388" t="s">
        <v>15</v>
      </c>
      <c r="H355" s="388" t="s">
        <v>16</v>
      </c>
      <c r="I355" s="388" t="s">
        <v>0</v>
      </c>
      <c r="J355" s="388" t="s">
        <v>1</v>
      </c>
      <c r="K355" s="388" t="s">
        <v>2</v>
      </c>
      <c r="L355" s="388" t="s">
        <v>3</v>
      </c>
      <c r="M355" s="388" t="s">
        <v>4</v>
      </c>
      <c r="N355" s="388" t="s">
        <v>5</v>
      </c>
      <c r="O355" s="388" t="s">
        <v>6</v>
      </c>
      <c r="P355" s="388" t="s">
        <v>7</v>
      </c>
      <c r="Q355" s="388" t="s">
        <v>8</v>
      </c>
      <c r="R355" s="388" t="s">
        <v>9</v>
      </c>
    </row>
    <row r="356" spans="1:18">
      <c r="A356" s="232" t="s">
        <v>322</v>
      </c>
      <c r="B356" s="259" t="s">
        <v>40</v>
      </c>
      <c r="C356"/>
      <c r="D356" s="234">
        <f t="shared" ref="D356:M361" si="77">I283</f>
        <v>0</v>
      </c>
      <c r="E356" s="234">
        <f t="shared" si="77"/>
        <v>0</v>
      </c>
      <c r="F356" s="234">
        <f t="shared" si="77"/>
        <v>0</v>
      </c>
      <c r="G356" s="234">
        <f t="shared" si="77"/>
        <v>0</v>
      </c>
      <c r="H356" s="234">
        <f t="shared" si="77"/>
        <v>0</v>
      </c>
      <c r="I356" s="234">
        <f t="shared" si="77"/>
        <v>1517</v>
      </c>
      <c r="J356" s="234">
        <f t="shared" si="77"/>
        <v>3237.4121261479313</v>
      </c>
      <c r="K356" s="234">
        <f t="shared" si="77"/>
        <v>5741.9879140584671</v>
      </c>
      <c r="L356" s="234">
        <f t="shared" si="77"/>
        <v>7409.9037075291853</v>
      </c>
      <c r="M356" s="234">
        <f t="shared" si="77"/>
        <v>8620.2675022651638</v>
      </c>
      <c r="N356" s="234">
        <f t="shared" ref="N356:R361" si="78">D292</f>
        <v>12132.416277047852</v>
      </c>
      <c r="O356" s="234">
        <f t="shared" si="78"/>
        <v>16287.447046278623</v>
      </c>
      <c r="P356" s="234">
        <f t="shared" si="78"/>
        <v>19285.6701232017</v>
      </c>
      <c r="Q356" s="234">
        <f t="shared" si="78"/>
        <v>20873.293200124779</v>
      </c>
      <c r="R356" s="234">
        <f t="shared" si="78"/>
        <v>15046.016277047856</v>
      </c>
    </row>
    <row r="357" spans="1:18">
      <c r="A357" s="232" t="s">
        <v>59</v>
      </c>
      <c r="B357" s="259" t="s">
        <v>40</v>
      </c>
      <c r="C357"/>
      <c r="D357" s="234">
        <f t="shared" si="77"/>
        <v>0</v>
      </c>
      <c r="E357" s="234">
        <f t="shared" si="77"/>
        <v>0</v>
      </c>
      <c r="F357" s="234">
        <f t="shared" si="77"/>
        <v>0</v>
      </c>
      <c r="G357" s="234">
        <f t="shared" si="77"/>
        <v>0</v>
      </c>
      <c r="H357" s="234">
        <f t="shared" si="77"/>
        <v>1517</v>
      </c>
      <c r="I357" s="234">
        <f t="shared" si="77"/>
        <v>1720.4121261479311</v>
      </c>
      <c r="J357" s="234">
        <f t="shared" si="77"/>
        <v>2504.5757879105354</v>
      </c>
      <c r="K357" s="234">
        <f t="shared" si="77"/>
        <v>1667.9157934707182</v>
      </c>
      <c r="L357" s="234">
        <f t="shared" si="77"/>
        <v>1210.3637947359789</v>
      </c>
      <c r="M357" s="234">
        <f t="shared" si="77"/>
        <v>3086.0866176693889</v>
      </c>
      <c r="N357" s="234">
        <f t="shared" si="78"/>
        <v>5074.2615384615383</v>
      </c>
      <c r="O357" s="234">
        <f t="shared" si="78"/>
        <v>3991.1461538461544</v>
      </c>
      <c r="P357" s="234">
        <f t="shared" si="78"/>
        <v>3299.6846153846159</v>
      </c>
      <c r="Q357" s="234">
        <f t="shared" si="78"/>
        <v>2784.1153846153852</v>
      </c>
      <c r="R357" s="234">
        <f t="shared" si="78"/>
        <v>2149.7307692307691</v>
      </c>
    </row>
    <row r="358" spans="1:18">
      <c r="A358" s="232" t="s">
        <v>63</v>
      </c>
      <c r="B358" s="259" t="s">
        <v>40</v>
      </c>
      <c r="C358"/>
      <c r="D358" s="234">
        <f t="shared" si="77"/>
        <v>0</v>
      </c>
      <c r="E358" s="234">
        <f t="shared" si="77"/>
        <v>0</v>
      </c>
      <c r="F358" s="234">
        <f t="shared" si="77"/>
        <v>0</v>
      </c>
      <c r="G358" s="234">
        <f t="shared" si="77"/>
        <v>0</v>
      </c>
      <c r="H358" s="234">
        <f t="shared" si="77"/>
        <v>0</v>
      </c>
      <c r="I358" s="234">
        <f t="shared" si="77"/>
        <v>0</v>
      </c>
      <c r="J358" s="234">
        <f t="shared" si="77"/>
        <v>0</v>
      </c>
      <c r="K358" s="234">
        <f t="shared" si="77"/>
        <v>0</v>
      </c>
      <c r="L358" s="234">
        <f t="shared" si="77"/>
        <v>0</v>
      </c>
      <c r="M358" s="234">
        <f t="shared" si="77"/>
        <v>724.25206176266488</v>
      </c>
      <c r="N358" s="234">
        <f t="shared" si="78"/>
        <v>919.23076923076917</v>
      </c>
      <c r="O358" s="234">
        <f t="shared" si="78"/>
        <v>992.92307692307702</v>
      </c>
      <c r="P358" s="234">
        <f t="shared" si="78"/>
        <v>1712.0615384615387</v>
      </c>
      <c r="Q358" s="234">
        <f t="shared" si="78"/>
        <v>8611.3923076923093</v>
      </c>
      <c r="R358" s="234">
        <f t="shared" si="78"/>
        <v>9013.3538461538483</v>
      </c>
    </row>
    <row r="359" spans="1:18">
      <c r="A359" s="232" t="s">
        <v>245</v>
      </c>
      <c r="B359" s="259" t="s">
        <v>40</v>
      </c>
      <c r="C359"/>
      <c r="D359" s="234">
        <f t="shared" si="77"/>
        <v>0</v>
      </c>
      <c r="E359" s="234">
        <f t="shared" si="77"/>
        <v>0</v>
      </c>
      <c r="F359" s="234">
        <f t="shared" si="77"/>
        <v>0</v>
      </c>
      <c r="G359" s="234">
        <f t="shared" si="77"/>
        <v>0</v>
      </c>
      <c r="H359" s="234">
        <f t="shared" si="77"/>
        <v>0</v>
      </c>
      <c r="I359" s="234">
        <f t="shared" si="77"/>
        <v>0</v>
      </c>
      <c r="J359" s="234">
        <f t="shared" si="77"/>
        <v>0</v>
      </c>
      <c r="K359" s="234">
        <f t="shared" si="77"/>
        <v>0</v>
      </c>
      <c r="L359" s="234">
        <f t="shared" si="77"/>
        <v>0</v>
      </c>
      <c r="M359" s="234">
        <f t="shared" si="77"/>
        <v>281.1784630972445</v>
      </c>
      <c r="N359" s="234">
        <f t="shared" si="78"/>
        <v>0</v>
      </c>
      <c r="O359" s="234">
        <f t="shared" si="78"/>
        <v>0</v>
      </c>
      <c r="P359" s="234">
        <f t="shared" si="78"/>
        <v>0</v>
      </c>
      <c r="Q359" s="234">
        <f t="shared" si="78"/>
        <v>0</v>
      </c>
      <c r="R359" s="234">
        <f t="shared" si="78"/>
        <v>0</v>
      </c>
    </row>
    <row r="360" spans="1:18">
      <c r="A360" s="232" t="s">
        <v>323</v>
      </c>
      <c r="B360" s="259" t="s">
        <v>40</v>
      </c>
      <c r="C360"/>
      <c r="D360" s="234">
        <f t="shared" si="77"/>
        <v>0</v>
      </c>
      <c r="E360" s="234">
        <f t="shared" si="77"/>
        <v>0</v>
      </c>
      <c r="F360" s="234">
        <f t="shared" si="77"/>
        <v>0</v>
      </c>
      <c r="G360" s="234">
        <f t="shared" si="77"/>
        <v>0</v>
      </c>
      <c r="H360" s="234">
        <f t="shared" si="77"/>
        <v>1517</v>
      </c>
      <c r="I360" s="234">
        <f t="shared" si="77"/>
        <v>3237.4121261479313</v>
      </c>
      <c r="J360" s="234">
        <f t="shared" si="77"/>
        <v>5741.9879140584671</v>
      </c>
      <c r="K360" s="234">
        <f t="shared" si="77"/>
        <v>7409.9037075291853</v>
      </c>
      <c r="L360" s="234">
        <f t="shared" si="77"/>
        <v>8620.2675022651638</v>
      </c>
      <c r="M360" s="234">
        <f t="shared" si="77"/>
        <v>10700.923595074642</v>
      </c>
      <c r="N360" s="234">
        <f t="shared" si="78"/>
        <v>16287.447046278623</v>
      </c>
      <c r="O360" s="234">
        <f t="shared" si="78"/>
        <v>19285.6701232017</v>
      </c>
      <c r="P360" s="234">
        <f t="shared" si="78"/>
        <v>20873.293200124779</v>
      </c>
      <c r="Q360" s="234">
        <f t="shared" si="78"/>
        <v>15046.016277047856</v>
      </c>
      <c r="R360" s="234">
        <f t="shared" si="78"/>
        <v>8182.3932001247776</v>
      </c>
    </row>
    <row r="361" spans="1:18">
      <c r="A361" s="232" t="s">
        <v>236</v>
      </c>
      <c r="B361" s="259" t="s">
        <v>40</v>
      </c>
      <c r="C361"/>
      <c r="D361" s="234">
        <f t="shared" si="77"/>
        <v>0</v>
      </c>
      <c r="E361" s="234">
        <f t="shared" si="77"/>
        <v>0</v>
      </c>
      <c r="F361" s="234">
        <f t="shared" si="77"/>
        <v>0</v>
      </c>
      <c r="G361" s="234">
        <f t="shared" si="77"/>
        <v>0</v>
      </c>
      <c r="H361" s="234">
        <f t="shared" si="77"/>
        <v>758.5</v>
      </c>
      <c r="I361" s="234">
        <f t="shared" si="77"/>
        <v>2377.2060630739657</v>
      </c>
      <c r="J361" s="234">
        <f t="shared" si="77"/>
        <v>4489.7000201031988</v>
      </c>
      <c r="K361" s="234">
        <f t="shared" si="77"/>
        <v>6575.9458107938262</v>
      </c>
      <c r="L361" s="234">
        <f t="shared" si="77"/>
        <v>8015.0856048971746</v>
      </c>
      <c r="M361" s="234">
        <f t="shared" si="77"/>
        <v>9660.5955486699022</v>
      </c>
      <c r="N361" s="234">
        <f t="shared" si="78"/>
        <v>14209.931661663239</v>
      </c>
      <c r="O361" s="234">
        <f t="shared" si="78"/>
        <v>17786.55858474016</v>
      </c>
      <c r="P361" s="234">
        <f t="shared" si="78"/>
        <v>20079.481661663238</v>
      </c>
      <c r="Q361" s="234">
        <f t="shared" si="78"/>
        <v>17959.654738586316</v>
      </c>
      <c r="R361" s="234">
        <f t="shared" si="78"/>
        <v>11614.204738586317</v>
      </c>
    </row>
    <row r="363" spans="1:18">
      <c r="B363" s="390"/>
      <c r="C363" s="391" t="s">
        <v>11</v>
      </c>
      <c r="D363" s="395" t="s">
        <v>217</v>
      </c>
      <c r="E363" s="395" t="s">
        <v>217</v>
      </c>
      <c r="F363" s="395" t="s">
        <v>217</v>
      </c>
      <c r="G363" s="395" t="s">
        <v>217</v>
      </c>
      <c r="H363" s="395" t="s">
        <v>217</v>
      </c>
      <c r="I363" s="395" t="s">
        <v>217</v>
      </c>
      <c r="J363" s="395" t="s">
        <v>217</v>
      </c>
      <c r="K363" s="395" t="s">
        <v>217</v>
      </c>
      <c r="L363" s="395" t="s">
        <v>217</v>
      </c>
      <c r="M363" s="395" t="s">
        <v>217</v>
      </c>
      <c r="N363" s="395" t="s">
        <v>53</v>
      </c>
      <c r="O363" s="395" t="s">
        <v>53</v>
      </c>
      <c r="P363" s="395" t="s">
        <v>53</v>
      </c>
      <c r="Q363" s="395" t="s">
        <v>53</v>
      </c>
      <c r="R363" s="395" t="s">
        <v>53</v>
      </c>
    </row>
    <row r="364" spans="1:18">
      <c r="A364" s="65" t="s">
        <v>335</v>
      </c>
      <c r="B364" s="389" t="s">
        <v>10</v>
      </c>
      <c r="C364" s="389"/>
      <c r="D364" s="388" t="s">
        <v>35</v>
      </c>
      <c r="E364" s="388" t="s">
        <v>36</v>
      </c>
      <c r="F364" s="388" t="s">
        <v>37</v>
      </c>
      <c r="G364" s="388" t="s">
        <v>15</v>
      </c>
      <c r="H364" s="388" t="s">
        <v>16</v>
      </c>
      <c r="I364" s="388" t="s">
        <v>0</v>
      </c>
      <c r="J364" s="388" t="s">
        <v>1</v>
      </c>
      <c r="K364" s="388" t="s">
        <v>2</v>
      </c>
      <c r="L364" s="388" t="s">
        <v>3</v>
      </c>
      <c r="M364" s="388" t="s">
        <v>4</v>
      </c>
      <c r="N364" s="388" t="s">
        <v>5</v>
      </c>
      <c r="O364" s="388" t="s">
        <v>6</v>
      </c>
      <c r="P364" s="388" t="s">
        <v>7</v>
      </c>
      <c r="Q364" s="388" t="s">
        <v>8</v>
      </c>
      <c r="R364" s="388" t="s">
        <v>9</v>
      </c>
    </row>
    <row r="365" spans="1:18">
      <c r="A365" s="232" t="s">
        <v>322</v>
      </c>
      <c r="B365" s="259" t="s">
        <v>40</v>
      </c>
      <c r="C365"/>
      <c r="D365" s="234">
        <f t="shared" ref="D365:M369" si="79">I323</f>
        <v>0</v>
      </c>
      <c r="E365" s="234">
        <f t="shared" si="79"/>
        <v>0</v>
      </c>
      <c r="F365" s="234">
        <f t="shared" si="79"/>
        <v>0</v>
      </c>
      <c r="G365" s="234">
        <f t="shared" si="79"/>
        <v>0</v>
      </c>
      <c r="H365" s="234">
        <f t="shared" si="79"/>
        <v>0</v>
      </c>
      <c r="I365" s="234">
        <f t="shared" si="79"/>
        <v>0</v>
      </c>
      <c r="J365" s="234">
        <f t="shared" si="79"/>
        <v>0</v>
      </c>
      <c r="K365" s="234">
        <f t="shared" si="79"/>
        <v>0</v>
      </c>
      <c r="L365" s="234">
        <f t="shared" si="79"/>
        <v>0</v>
      </c>
      <c r="M365" s="234">
        <f t="shared" si="79"/>
        <v>0</v>
      </c>
      <c r="N365" s="234">
        <f t="shared" ref="N365:R369" si="80">D331</f>
        <v>20728.497433699737</v>
      </c>
      <c r="O365" s="234">
        <f t="shared" si="80"/>
        <v>15666.373075274802</v>
      </c>
      <c r="P365" s="234">
        <f t="shared" si="80"/>
        <v>10574.248716849866</v>
      </c>
      <c r="Q365" s="234">
        <f t="shared" si="80"/>
        <v>5452.1243584249323</v>
      </c>
      <c r="R365" s="234">
        <f t="shared" si="80"/>
        <v>299.99999999999818</v>
      </c>
    </row>
    <row r="366" spans="1:18">
      <c r="A366" s="232" t="s">
        <v>59</v>
      </c>
      <c r="B366" s="259" t="s">
        <v>40</v>
      </c>
      <c r="C366"/>
      <c r="D366" s="234">
        <f t="shared" si="79"/>
        <v>0</v>
      </c>
      <c r="E366" s="234">
        <f t="shared" si="79"/>
        <v>0</v>
      </c>
      <c r="F366" s="234">
        <f t="shared" si="79"/>
        <v>0</v>
      </c>
      <c r="G366" s="234">
        <f t="shared" si="79"/>
        <v>0</v>
      </c>
      <c r="H366" s="234">
        <f t="shared" si="79"/>
        <v>0</v>
      </c>
      <c r="I366" s="234">
        <f t="shared" si="79"/>
        <v>0</v>
      </c>
      <c r="J366" s="234">
        <f t="shared" si="79"/>
        <v>0</v>
      </c>
      <c r="K366" s="234">
        <f t="shared" si="79"/>
        <v>0</v>
      </c>
      <c r="L366" s="234">
        <f t="shared" si="79"/>
        <v>0</v>
      </c>
      <c r="M366" s="234">
        <f t="shared" si="79"/>
        <v>22853.451263697396</v>
      </c>
      <c r="N366" s="234">
        <f t="shared" si="80"/>
        <v>150</v>
      </c>
      <c r="O366" s="234">
        <f t="shared" si="80"/>
        <v>150</v>
      </c>
      <c r="P366" s="234">
        <f t="shared" si="80"/>
        <v>150</v>
      </c>
      <c r="Q366" s="234">
        <f t="shared" si="80"/>
        <v>150</v>
      </c>
      <c r="R366" s="234">
        <f t="shared" si="80"/>
        <v>150</v>
      </c>
    </row>
    <row r="367" spans="1:18">
      <c r="A367" s="232" t="s">
        <v>60</v>
      </c>
      <c r="B367" s="259" t="s">
        <v>40</v>
      </c>
      <c r="C367"/>
      <c r="D367" s="234">
        <f t="shared" si="79"/>
        <v>0</v>
      </c>
      <c r="E367" s="234">
        <f t="shared" si="79"/>
        <v>0</v>
      </c>
      <c r="F367" s="234">
        <f t="shared" si="79"/>
        <v>0</v>
      </c>
      <c r="G367" s="234">
        <f t="shared" si="79"/>
        <v>0</v>
      </c>
      <c r="H367" s="234">
        <f t="shared" si="79"/>
        <v>0</v>
      </c>
      <c r="I367" s="234">
        <f t="shared" si="79"/>
        <v>0</v>
      </c>
      <c r="J367" s="234">
        <f t="shared" si="79"/>
        <v>0</v>
      </c>
      <c r="K367" s="234">
        <f t="shared" si="79"/>
        <v>0</v>
      </c>
      <c r="L367" s="234">
        <f t="shared" si="79"/>
        <v>0</v>
      </c>
      <c r="M367" s="234">
        <f t="shared" si="79"/>
        <v>4570.6902527394795</v>
      </c>
      <c r="N367" s="234">
        <f t="shared" si="80"/>
        <v>5212.1243584249341</v>
      </c>
      <c r="O367" s="234">
        <f t="shared" si="80"/>
        <v>5242.1243584249341</v>
      </c>
      <c r="P367" s="234">
        <f t="shared" si="80"/>
        <v>5272.1243584249341</v>
      </c>
      <c r="Q367" s="234">
        <f t="shared" si="80"/>
        <v>5302.1243584249341</v>
      </c>
      <c r="R367" s="234">
        <f t="shared" si="80"/>
        <v>150</v>
      </c>
    </row>
    <row r="368" spans="1:18">
      <c r="A368" s="232" t="s">
        <v>323</v>
      </c>
      <c r="B368" s="259" t="s">
        <v>40</v>
      </c>
      <c r="C368"/>
      <c r="D368" s="234">
        <f t="shared" si="79"/>
        <v>0</v>
      </c>
      <c r="E368" s="234">
        <f t="shared" si="79"/>
        <v>0</v>
      </c>
      <c r="F368" s="234">
        <f t="shared" si="79"/>
        <v>0</v>
      </c>
      <c r="G368" s="234">
        <f t="shared" si="79"/>
        <v>0</v>
      </c>
      <c r="H368" s="234">
        <f t="shared" si="79"/>
        <v>0</v>
      </c>
      <c r="I368" s="234">
        <f t="shared" si="79"/>
        <v>0</v>
      </c>
      <c r="J368" s="234">
        <f t="shared" si="79"/>
        <v>0</v>
      </c>
      <c r="K368" s="234">
        <f t="shared" si="79"/>
        <v>0</v>
      </c>
      <c r="L368" s="234">
        <f t="shared" si="79"/>
        <v>0</v>
      </c>
      <c r="M368" s="234">
        <f t="shared" si="79"/>
        <v>18282.761010957918</v>
      </c>
      <c r="N368" s="234">
        <f t="shared" si="80"/>
        <v>15666.373075274802</v>
      </c>
      <c r="O368" s="234">
        <f t="shared" si="80"/>
        <v>10574.248716849866</v>
      </c>
      <c r="P368" s="234">
        <f t="shared" si="80"/>
        <v>5452.1243584249323</v>
      </c>
      <c r="Q368" s="234">
        <f t="shared" si="80"/>
        <v>299.99999999999818</v>
      </c>
      <c r="R368" s="234">
        <f t="shared" si="80"/>
        <v>299.99999999999818</v>
      </c>
    </row>
    <row r="369" spans="1:18">
      <c r="A369" s="232" t="s">
        <v>236</v>
      </c>
      <c r="B369" s="259" t="s">
        <v>40</v>
      </c>
      <c r="C369"/>
      <c r="D369" s="234">
        <f t="shared" si="79"/>
        <v>0</v>
      </c>
      <c r="E369" s="234">
        <f t="shared" si="79"/>
        <v>0</v>
      </c>
      <c r="F369" s="234">
        <f t="shared" si="79"/>
        <v>0</v>
      </c>
      <c r="G369" s="234">
        <f t="shared" si="79"/>
        <v>0</v>
      </c>
      <c r="H369" s="234">
        <f t="shared" si="79"/>
        <v>0</v>
      </c>
      <c r="I369" s="234">
        <f t="shared" si="79"/>
        <v>0</v>
      </c>
      <c r="J369" s="234">
        <f t="shared" si="79"/>
        <v>0</v>
      </c>
      <c r="K369" s="234">
        <f t="shared" si="79"/>
        <v>0</v>
      </c>
      <c r="L369" s="234">
        <f t="shared" si="79"/>
        <v>0</v>
      </c>
      <c r="M369" s="234">
        <f t="shared" si="79"/>
        <v>9141.3805054789591</v>
      </c>
      <c r="N369" s="234">
        <f t="shared" si="80"/>
        <v>18197.435254487267</v>
      </c>
      <c r="O369" s="234">
        <f t="shared" si="80"/>
        <v>13120.310896062334</v>
      </c>
      <c r="P369" s="234">
        <f t="shared" si="80"/>
        <v>8013.1865376373989</v>
      </c>
      <c r="Q369" s="234">
        <f t="shared" si="80"/>
        <v>2876.0621792124653</v>
      </c>
      <c r="R369" s="234">
        <f t="shared" si="80"/>
        <v>299.99999999999818</v>
      </c>
    </row>
    <row r="370" spans="1:18" s="286" customFormat="1"/>
    <row r="371" spans="1:18" s="286" customFormat="1">
      <c r="A371" s="232"/>
      <c r="B371" s="409"/>
      <c r="C371" s="391" t="s">
        <v>11</v>
      </c>
      <c r="D371" s="395" t="s">
        <v>217</v>
      </c>
      <c r="E371" s="395" t="s">
        <v>217</v>
      </c>
      <c r="F371" s="395" t="s">
        <v>217</v>
      </c>
      <c r="G371" s="395" t="s">
        <v>217</v>
      </c>
      <c r="H371" s="395" t="s">
        <v>217</v>
      </c>
      <c r="I371" s="395" t="s">
        <v>217</v>
      </c>
      <c r="J371" s="395" t="s">
        <v>217</v>
      </c>
      <c r="K371" s="395" t="s">
        <v>217</v>
      </c>
      <c r="L371" s="395" t="s">
        <v>217</v>
      </c>
      <c r="M371" s="395" t="s">
        <v>217</v>
      </c>
      <c r="N371" s="395" t="s">
        <v>53</v>
      </c>
      <c r="O371" s="395" t="s">
        <v>53</v>
      </c>
      <c r="P371" s="395" t="s">
        <v>53</v>
      </c>
      <c r="Q371" s="395" t="s">
        <v>53</v>
      </c>
      <c r="R371" s="395" t="s">
        <v>53</v>
      </c>
    </row>
    <row r="372" spans="1:18" s="286" customFormat="1">
      <c r="A372" s="65" t="s">
        <v>555</v>
      </c>
      <c r="B372" s="389" t="s">
        <v>10</v>
      </c>
      <c r="C372" s="389"/>
      <c r="D372" s="388" t="s">
        <v>35</v>
      </c>
      <c r="E372" s="388" t="s">
        <v>36</v>
      </c>
      <c r="F372" s="388" t="s">
        <v>37</v>
      </c>
      <c r="G372" s="388" t="s">
        <v>15</v>
      </c>
      <c r="H372" s="388" t="s">
        <v>16</v>
      </c>
      <c r="I372" s="388" t="s">
        <v>0</v>
      </c>
      <c r="J372" s="388" t="s">
        <v>1</v>
      </c>
      <c r="K372" s="388" t="s">
        <v>2</v>
      </c>
      <c r="L372" s="388" t="s">
        <v>3</v>
      </c>
      <c r="M372" s="388" t="s">
        <v>4</v>
      </c>
      <c r="N372" s="388" t="s">
        <v>5</v>
      </c>
      <c r="O372" s="388" t="s">
        <v>6</v>
      </c>
      <c r="P372" s="388" t="s">
        <v>7</v>
      </c>
      <c r="Q372" s="388" t="s">
        <v>8</v>
      </c>
      <c r="R372" s="388" t="s">
        <v>9</v>
      </c>
    </row>
    <row r="373" spans="1:18" s="286" customFormat="1">
      <c r="A373" s="232" t="s">
        <v>322</v>
      </c>
      <c r="B373" s="259" t="s">
        <v>40</v>
      </c>
      <c r="C373" s="285"/>
      <c r="D373" s="234"/>
      <c r="E373" s="234"/>
      <c r="F373" s="234"/>
      <c r="G373" s="234"/>
      <c r="H373" s="234"/>
      <c r="I373" s="234"/>
      <c r="J373" s="234"/>
      <c r="K373" s="234"/>
      <c r="L373" s="234">
        <f>Q161</f>
        <v>1700</v>
      </c>
      <c r="M373" s="234">
        <f>R161</f>
        <v>850</v>
      </c>
      <c r="N373" s="234"/>
      <c r="O373" s="234"/>
      <c r="P373" s="234"/>
      <c r="Q373" s="234"/>
      <c r="R373" s="234"/>
    </row>
    <row r="374" spans="1:18" s="286" customFormat="1">
      <c r="A374" s="232" t="s">
        <v>59</v>
      </c>
      <c r="B374" s="259" t="s">
        <v>40</v>
      </c>
      <c r="C374" s="285"/>
      <c r="D374" s="234"/>
      <c r="E374" s="234"/>
      <c r="F374" s="234"/>
      <c r="G374" s="234"/>
      <c r="H374" s="234"/>
      <c r="I374" s="234"/>
      <c r="J374" s="234"/>
      <c r="K374" s="234"/>
      <c r="L374" s="234">
        <v>0</v>
      </c>
      <c r="M374" s="234">
        <v>0</v>
      </c>
      <c r="N374" s="234"/>
      <c r="O374" s="234"/>
      <c r="P374" s="234"/>
      <c r="Q374" s="234"/>
      <c r="R374" s="234"/>
    </row>
    <row r="375" spans="1:18" s="286" customFormat="1">
      <c r="A375" s="232" t="s">
        <v>60</v>
      </c>
      <c r="B375" s="259" t="s">
        <v>40</v>
      </c>
      <c r="C375" s="285"/>
      <c r="D375" s="234"/>
      <c r="E375" s="234"/>
      <c r="F375" s="234"/>
      <c r="G375" s="234"/>
      <c r="H375" s="234"/>
      <c r="I375" s="234"/>
      <c r="J375" s="234"/>
      <c r="K375" s="234"/>
      <c r="L375" s="234">
        <f t="shared" ref="L375:M377" si="81">Q162</f>
        <v>850</v>
      </c>
      <c r="M375" s="234">
        <f t="shared" si="81"/>
        <v>850</v>
      </c>
      <c r="N375" s="234"/>
      <c r="O375" s="234"/>
      <c r="P375" s="234"/>
      <c r="Q375" s="234"/>
      <c r="R375" s="234"/>
    </row>
    <row r="376" spans="1:18" s="286" customFormat="1">
      <c r="A376" s="232" t="s">
        <v>323</v>
      </c>
      <c r="B376" s="259" t="s">
        <v>40</v>
      </c>
      <c r="C376" s="285"/>
      <c r="D376" s="234"/>
      <c r="E376" s="234"/>
      <c r="F376" s="234"/>
      <c r="G376" s="234"/>
      <c r="H376" s="234"/>
      <c r="I376" s="234"/>
      <c r="J376" s="234"/>
      <c r="K376" s="234"/>
      <c r="L376" s="234">
        <f t="shared" si="81"/>
        <v>850</v>
      </c>
      <c r="M376" s="234">
        <f t="shared" si="81"/>
        <v>0</v>
      </c>
      <c r="N376" s="234"/>
      <c r="O376" s="234"/>
      <c r="P376" s="234"/>
      <c r="Q376" s="234"/>
      <c r="R376" s="234"/>
    </row>
    <row r="377" spans="1:18" s="286" customFormat="1">
      <c r="A377" s="232" t="s">
        <v>236</v>
      </c>
      <c r="B377" s="259" t="s">
        <v>40</v>
      </c>
      <c r="C377" s="285"/>
      <c r="D377" s="234"/>
      <c r="E377" s="234"/>
      <c r="F377" s="234"/>
      <c r="G377" s="234"/>
      <c r="H377" s="234"/>
      <c r="I377" s="234"/>
      <c r="J377" s="234"/>
      <c r="K377" s="234"/>
      <c r="L377" s="234">
        <f t="shared" si="81"/>
        <v>1275</v>
      </c>
      <c r="M377" s="234">
        <f t="shared" si="81"/>
        <v>425</v>
      </c>
      <c r="N377" s="234"/>
      <c r="O377" s="234"/>
      <c r="P377" s="234"/>
      <c r="Q377" s="234"/>
      <c r="R377" s="234"/>
    </row>
    <row r="379" spans="1:18" ht="18">
      <c r="A379" s="256" t="s">
        <v>345</v>
      </c>
      <c r="B379" s="257"/>
      <c r="C379"/>
      <c r="D379"/>
      <c r="E379"/>
      <c r="F379"/>
      <c r="G379"/>
      <c r="H379"/>
      <c r="I379"/>
      <c r="J379"/>
      <c r="K379"/>
      <c r="L379"/>
      <c r="M379"/>
      <c r="N379"/>
      <c r="O379"/>
      <c r="P379"/>
      <c r="Q379"/>
      <c r="R379"/>
    </row>
    <row r="380" spans="1:18" ht="17.100000000000001" customHeight="1">
      <c r="A380" s="62"/>
      <c r="B380" s="390"/>
      <c r="C380" s="390"/>
      <c r="D380" s="388" t="s">
        <v>35</v>
      </c>
      <c r="E380" s="388" t="s">
        <v>36</v>
      </c>
      <c r="F380" s="388" t="s">
        <v>37</v>
      </c>
      <c r="G380" s="388" t="s">
        <v>15</v>
      </c>
      <c r="H380" s="388" t="s">
        <v>16</v>
      </c>
      <c r="I380" s="388" t="s">
        <v>0</v>
      </c>
      <c r="J380" s="388" t="s">
        <v>1</v>
      </c>
      <c r="K380" s="388" t="s">
        <v>2</v>
      </c>
      <c r="L380" s="388" t="s">
        <v>3</v>
      </c>
      <c r="M380" s="388" t="s">
        <v>4</v>
      </c>
      <c r="N380" s="388" t="s">
        <v>5</v>
      </c>
      <c r="O380" s="388" t="s">
        <v>6</v>
      </c>
      <c r="P380" s="388" t="s">
        <v>7</v>
      </c>
      <c r="Q380" s="388" t="s">
        <v>8</v>
      </c>
      <c r="R380" s="388" t="s">
        <v>9</v>
      </c>
    </row>
    <row r="381" spans="1:18">
      <c r="A381" s="232" t="s">
        <v>324</v>
      </c>
      <c r="B381"/>
      <c r="C381"/>
      <c r="D381" s="4">
        <f t="shared" ref="D381:M381" si="82">D15</f>
        <v>0.9166992569417286</v>
      </c>
      <c r="E381" s="4">
        <f t="shared" si="82"/>
        <v>0.9483770043019164</v>
      </c>
      <c r="F381" s="4">
        <f t="shared" si="82"/>
        <v>0.97575283535393043</v>
      </c>
      <c r="G381" s="4">
        <f t="shared" si="82"/>
        <v>1</v>
      </c>
      <c r="H381" s="4">
        <f t="shared" si="82"/>
        <v>1.0089949159170903</v>
      </c>
      <c r="I381" s="271">
        <f t="shared" si="82"/>
        <v>1.0222917481423544</v>
      </c>
      <c r="J381" s="4">
        <f t="shared" si="82"/>
        <v>1.0582714118107157</v>
      </c>
      <c r="K381" s="4">
        <f t="shared" si="82"/>
        <v>1.0938599921783341</v>
      </c>
      <c r="L381" s="4">
        <f t="shared" si="82"/>
        <v>1.127102072741494</v>
      </c>
      <c r="M381" s="4">
        <f t="shared" si="82"/>
        <v>1.1443097379741887</v>
      </c>
      <c r="N381" s="4">
        <f>K9</f>
        <v>1.0294795539033457</v>
      </c>
      <c r="O381" s="4">
        <f>L9</f>
        <v>1.0500691449814126</v>
      </c>
      <c r="P381" s="4">
        <f>M9</f>
        <v>1.0710705278810408</v>
      </c>
      <c r="Q381" s="4">
        <f>N9</f>
        <v>1.0924919384386618</v>
      </c>
      <c r="R381" s="4">
        <f>O9</f>
        <v>1.1143417772074351</v>
      </c>
    </row>
    <row r="382" spans="1:18">
      <c r="C382" s="232"/>
      <c r="D382" s="232"/>
      <c r="E382" s="232"/>
      <c r="F382" s="232"/>
      <c r="G382" s="232"/>
      <c r="H382" s="232"/>
      <c r="I382" s="232"/>
      <c r="J382" s="232"/>
      <c r="K382" s="232"/>
      <c r="L382" s="232"/>
      <c r="M382" s="232"/>
      <c r="N382" s="232"/>
      <c r="O382" s="232"/>
      <c r="P382" s="232"/>
      <c r="Q382" s="232"/>
      <c r="R382" s="232"/>
    </row>
    <row r="383" spans="1:18">
      <c r="A383" s="65" t="s">
        <v>329</v>
      </c>
      <c r="B383" s="389" t="s">
        <v>10</v>
      </c>
      <c r="C383" s="389" t="s">
        <v>11</v>
      </c>
      <c r="D383" s="388" t="s">
        <v>35</v>
      </c>
      <c r="E383" s="388" t="s">
        <v>36</v>
      </c>
      <c r="F383" s="388" t="s">
        <v>37</v>
      </c>
      <c r="G383" s="388" t="s">
        <v>15</v>
      </c>
      <c r="H383" s="388" t="s">
        <v>16</v>
      </c>
      <c r="I383" s="388" t="s">
        <v>0</v>
      </c>
      <c r="J383" s="388" t="s">
        <v>1</v>
      </c>
      <c r="K383" s="388" t="s">
        <v>2</v>
      </c>
      <c r="L383" s="388" t="s">
        <v>3</v>
      </c>
      <c r="M383" s="388" t="s">
        <v>4</v>
      </c>
      <c r="N383" s="388" t="s">
        <v>5</v>
      </c>
      <c r="O383" s="388" t="s">
        <v>6</v>
      </c>
      <c r="P383" s="388" t="s">
        <v>7</v>
      </c>
      <c r="Q383" s="388" t="s">
        <v>8</v>
      </c>
      <c r="R383" s="388" t="s">
        <v>9</v>
      </c>
    </row>
    <row r="384" spans="1:18">
      <c r="A384" s="232" t="s">
        <v>322</v>
      </c>
      <c r="B384" s="259" t="s">
        <v>40</v>
      </c>
      <c r="C384" t="s">
        <v>52</v>
      </c>
      <c r="D384" s="234">
        <f t="shared" ref="D384:R384" si="83">D340*D$381</f>
        <v>18916.576112074305</v>
      </c>
      <c r="E384" s="234">
        <f t="shared" si="83"/>
        <v>17191.074126635736</v>
      </c>
      <c r="F384" s="234">
        <f t="shared" si="83"/>
        <v>15438.145893995457</v>
      </c>
      <c r="G384" s="234">
        <f t="shared" si="83"/>
        <v>12329.246935164629</v>
      </c>
      <c r="H384" s="234">
        <f t="shared" si="83"/>
        <v>10118.337764552385</v>
      </c>
      <c r="I384" s="234">
        <f t="shared" si="83"/>
        <v>6574.2342859411483</v>
      </c>
      <c r="J384" s="234">
        <f t="shared" si="83"/>
        <v>4364.2353850906911</v>
      </c>
      <c r="K384" s="234">
        <f t="shared" si="83"/>
        <v>3643.2328480082715</v>
      </c>
      <c r="L384" s="234">
        <f t="shared" si="83"/>
        <v>3050.5724227260262</v>
      </c>
      <c r="M384" s="234">
        <f t="shared" si="83"/>
        <v>2516.952699315163</v>
      </c>
      <c r="N384" s="234">
        <f t="shared" si="83"/>
        <v>2237.376475921355</v>
      </c>
      <c r="O384" s="234">
        <f t="shared" si="83"/>
        <v>5975.262271371229</v>
      </c>
      <c r="P384" s="234">
        <f t="shared" si="83"/>
        <v>9081.7467420170815</v>
      </c>
      <c r="Q384" s="234">
        <f t="shared" si="83"/>
        <v>9252.7461717100723</v>
      </c>
      <c r="R384" s="234">
        <f t="shared" si="83"/>
        <v>8800.010024332063</v>
      </c>
    </row>
    <row r="385" spans="1:18">
      <c r="A385" s="232" t="s">
        <v>59</v>
      </c>
      <c r="B385" s="259" t="s">
        <v>40</v>
      </c>
      <c r="C385" t="s">
        <v>52</v>
      </c>
      <c r="D385" s="234">
        <f t="shared" ref="D385:R385" si="84">D341*D$381</f>
        <v>928.97307001795321</v>
      </c>
      <c r="E385" s="234">
        <f t="shared" si="84"/>
        <v>1295.2199281867145</v>
      </c>
      <c r="F385" s="234">
        <f t="shared" si="84"/>
        <v>274.36041292639135</v>
      </c>
      <c r="G385" s="234">
        <f t="shared" si="84"/>
        <v>1589.5175044883301</v>
      </c>
      <c r="H385" s="234">
        <f t="shared" si="84"/>
        <v>422.66606822262116</v>
      </c>
      <c r="I385" s="234">
        <f t="shared" si="84"/>
        <v>1187.4489636292531</v>
      </c>
      <c r="J385" s="234">
        <f t="shared" si="84"/>
        <v>1070.5458740711774</v>
      </c>
      <c r="K385" s="234">
        <f t="shared" si="84"/>
        <v>782.0725459522879</v>
      </c>
      <c r="L385" s="234">
        <f t="shared" si="84"/>
        <v>1290.4522096206495</v>
      </c>
      <c r="M385" s="234">
        <f t="shared" si="84"/>
        <v>1654.4318410246383</v>
      </c>
      <c r="N385" s="234">
        <f t="shared" si="84"/>
        <v>5043.7169091601991</v>
      </c>
      <c r="O385" s="234">
        <f t="shared" si="84"/>
        <v>5150.6671264546167</v>
      </c>
      <c r="P385" s="234">
        <f t="shared" si="84"/>
        <v>2857.7520651695063</v>
      </c>
      <c r="Q385" s="234">
        <f t="shared" si="84"/>
        <v>2623.7492639781913</v>
      </c>
      <c r="R385" s="234">
        <f t="shared" si="84"/>
        <v>2487.1933905334349</v>
      </c>
    </row>
    <row r="386" spans="1:18">
      <c r="A386" s="232" t="s">
        <v>60</v>
      </c>
      <c r="B386" s="259" t="s">
        <v>40</v>
      </c>
      <c r="C386" t="s">
        <v>52</v>
      </c>
      <c r="D386" s="234">
        <f t="shared" ref="D386:R386" si="85">D342*D$381</f>
        <v>3228.6923767998187</v>
      </c>
      <c r="E386" s="234">
        <f t="shared" si="85"/>
        <v>3481.2825145663446</v>
      </c>
      <c r="F386" s="234">
        <f t="shared" si="85"/>
        <v>3682.2086521562064</v>
      </c>
      <c r="G386" s="234">
        <f t="shared" si="85"/>
        <v>3890.6289109861195</v>
      </c>
      <c r="H386" s="234">
        <f t="shared" si="85"/>
        <v>4052.2798627183256</v>
      </c>
      <c r="I386" s="234">
        <f t="shared" si="85"/>
        <v>3545.8254163748843</v>
      </c>
      <c r="J386" s="234">
        <f t="shared" si="85"/>
        <v>1910.0804773562256</v>
      </c>
      <c r="K386" s="234">
        <f t="shared" si="85"/>
        <v>1464.7047463669803</v>
      </c>
      <c r="L386" s="234">
        <f t="shared" si="85"/>
        <v>1861.9208458031699</v>
      </c>
      <c r="M386" s="234">
        <f t="shared" si="85"/>
        <v>1977.8781913972966</v>
      </c>
      <c r="N386" s="234">
        <f t="shared" si="85"/>
        <v>1422.99311903133</v>
      </c>
      <c r="O386" s="234">
        <f t="shared" si="85"/>
        <v>2222.2561213385111</v>
      </c>
      <c r="P386" s="234">
        <f t="shared" si="85"/>
        <v>2868.179031000242</v>
      </c>
      <c r="Q386" s="234">
        <f t="shared" si="85"/>
        <v>3249.034627519577</v>
      </c>
      <c r="R386" s="234">
        <f t="shared" si="85"/>
        <v>3503.0428777835168</v>
      </c>
    </row>
    <row r="387" spans="1:18">
      <c r="A387" s="232" t="s">
        <v>323</v>
      </c>
      <c r="B387" s="259" t="s">
        <v>40</v>
      </c>
      <c r="C387" t="s">
        <v>52</v>
      </c>
      <c r="D387" s="234">
        <f t="shared" ref="D387:R387" si="86">D343*D$381</f>
        <v>16616.856805292438</v>
      </c>
      <c r="E387" s="234">
        <f t="shared" si="86"/>
        <v>15005.011540256108</v>
      </c>
      <c r="F387" s="234">
        <f t="shared" si="86"/>
        <v>12030.297654765644</v>
      </c>
      <c r="G387" s="234">
        <f t="shared" si="86"/>
        <v>10028.13552866684</v>
      </c>
      <c r="H387" s="234">
        <f t="shared" si="86"/>
        <v>6488.7239700566797</v>
      </c>
      <c r="I387" s="234">
        <f t="shared" si="86"/>
        <v>4215.8578331955159</v>
      </c>
      <c r="J387" s="234">
        <f t="shared" si="86"/>
        <v>3524.7007818056427</v>
      </c>
      <c r="K387" s="234">
        <f t="shared" si="86"/>
        <v>2960.6006475935792</v>
      </c>
      <c r="L387" s="234">
        <f t="shared" si="86"/>
        <v>2479.103786543506</v>
      </c>
      <c r="M387" s="234">
        <f t="shared" si="86"/>
        <v>2193.5063489425047</v>
      </c>
      <c r="N387" s="234">
        <f t="shared" si="86"/>
        <v>5858.1002660502245</v>
      </c>
      <c r="O387" s="234">
        <f t="shared" si="86"/>
        <v>8903.6732764873359</v>
      </c>
      <c r="P387" s="234">
        <f t="shared" si="86"/>
        <v>9071.3197761863448</v>
      </c>
      <c r="Q387" s="234">
        <f t="shared" si="86"/>
        <v>8627.4608081686874</v>
      </c>
      <c r="R387" s="234">
        <f t="shared" si="86"/>
        <v>7784.1605370819807</v>
      </c>
    </row>
    <row r="388" spans="1:18">
      <c r="A388" s="232" t="s">
        <v>236</v>
      </c>
      <c r="B388" s="259" t="s">
        <v>40</v>
      </c>
      <c r="C388" t="s">
        <v>52</v>
      </c>
      <c r="D388" s="234">
        <f t="shared" ref="D388:R388" si="87">D344*D$381</f>
        <v>17766.716458683368</v>
      </c>
      <c r="E388" s="234">
        <f t="shared" si="87"/>
        <v>16098.042833445921</v>
      </c>
      <c r="F388" s="234">
        <f t="shared" si="87"/>
        <v>13734.22177438055</v>
      </c>
      <c r="G388" s="234">
        <f t="shared" si="87"/>
        <v>11178.691231915735</v>
      </c>
      <c r="H388" s="234">
        <f t="shared" si="87"/>
        <v>8303.5308673045311</v>
      </c>
      <c r="I388" s="234">
        <f t="shared" si="87"/>
        <v>5395.0460595683317</v>
      </c>
      <c r="J388" s="234">
        <f t="shared" si="87"/>
        <v>3944.4680834481665</v>
      </c>
      <c r="K388" s="234">
        <f t="shared" si="87"/>
        <v>3301.9167478009254</v>
      </c>
      <c r="L388" s="234">
        <f t="shared" si="87"/>
        <v>2764.8381046347663</v>
      </c>
      <c r="M388" s="234">
        <f t="shared" si="87"/>
        <v>2355.2295241288339</v>
      </c>
      <c r="N388" s="234">
        <f t="shared" si="87"/>
        <v>4047.73837098579</v>
      </c>
      <c r="O388" s="234">
        <f t="shared" si="87"/>
        <v>7439.467773929282</v>
      </c>
      <c r="P388" s="234">
        <f t="shared" si="87"/>
        <v>9076.5332591017141</v>
      </c>
      <c r="Q388" s="234">
        <f t="shared" si="87"/>
        <v>8940.1034899393817</v>
      </c>
      <c r="R388" s="234">
        <f t="shared" si="87"/>
        <v>8292.0852807070223</v>
      </c>
    </row>
    <row r="390" spans="1:18">
      <c r="A390" s="65" t="s">
        <v>330</v>
      </c>
      <c r="B390" s="389" t="s">
        <v>10</v>
      </c>
      <c r="C390" s="389" t="s">
        <v>11</v>
      </c>
      <c r="D390" s="388" t="s">
        <v>35</v>
      </c>
      <c r="E390" s="388" t="s">
        <v>36</v>
      </c>
      <c r="F390" s="388" t="s">
        <v>37</v>
      </c>
      <c r="G390" s="388" t="s">
        <v>15</v>
      </c>
      <c r="H390" s="388" t="s">
        <v>16</v>
      </c>
      <c r="I390" s="388" t="s">
        <v>0</v>
      </c>
      <c r="J390" s="388" t="s">
        <v>1</v>
      </c>
      <c r="K390" s="388" t="s">
        <v>2</v>
      </c>
      <c r="L390" s="388" t="s">
        <v>3</v>
      </c>
      <c r="M390" s="388" t="s">
        <v>4</v>
      </c>
      <c r="N390" s="388" t="s">
        <v>5</v>
      </c>
      <c r="O390" s="388" t="s">
        <v>6</v>
      </c>
      <c r="P390" s="388" t="s">
        <v>7</v>
      </c>
      <c r="Q390" s="388" t="s">
        <v>8</v>
      </c>
      <c r="R390" s="388" t="s">
        <v>9</v>
      </c>
    </row>
    <row r="391" spans="1:18">
      <c r="A391" s="232" t="s">
        <v>322</v>
      </c>
      <c r="B391" s="259" t="s">
        <v>40</v>
      </c>
      <c r="C391" t="s">
        <v>52</v>
      </c>
      <c r="D391" s="234">
        <f t="shared" ref="D391:R391" si="88">D348*D$381</f>
        <v>0</v>
      </c>
      <c r="E391" s="234">
        <f t="shared" si="88"/>
        <v>1351.447710951526</v>
      </c>
      <c r="F391" s="234">
        <f t="shared" si="88"/>
        <v>2724.1637342908439</v>
      </c>
      <c r="G391" s="234">
        <f t="shared" si="88"/>
        <v>2675.5309515260324</v>
      </c>
      <c r="H391" s="234">
        <f t="shared" si="88"/>
        <v>2582.2233393177739</v>
      </c>
      <c r="I391" s="234">
        <f t="shared" si="88"/>
        <v>2497.3320646319571</v>
      </c>
      <c r="J391" s="234">
        <f t="shared" si="88"/>
        <v>2521.4164992726342</v>
      </c>
      <c r="K391" s="234">
        <f t="shared" si="88"/>
        <v>2488.6356332250848</v>
      </c>
      <c r="L391" s="234">
        <f t="shared" si="88"/>
        <v>2458.0572819004556</v>
      </c>
      <c r="M391" s="234">
        <f t="shared" si="88"/>
        <v>2372.8221649837687</v>
      </c>
      <c r="N391" s="234">
        <f t="shared" si="88"/>
        <v>2267.3486011694526</v>
      </c>
      <c r="O391" s="234">
        <f t="shared" si="88"/>
        <v>2224.1466106511803</v>
      </c>
      <c r="P391" s="234">
        <f t="shared" si="88"/>
        <v>2176.274567068735</v>
      </c>
      <c r="Q391" s="234">
        <f t="shared" si="88"/>
        <v>2083.3731696780774</v>
      </c>
      <c r="R391" s="234">
        <f t="shared" si="88"/>
        <v>1985.4394698540832</v>
      </c>
    </row>
    <row r="392" spans="1:18">
      <c r="A392" s="232" t="s">
        <v>59</v>
      </c>
      <c r="B392" s="259" t="s">
        <v>40</v>
      </c>
      <c r="C392" t="s">
        <v>52</v>
      </c>
      <c r="D392" s="234">
        <f t="shared" ref="D392:R392" si="89">D349*D$381</f>
        <v>1332.9658886894074</v>
      </c>
      <c r="E392" s="234">
        <f t="shared" si="89"/>
        <v>1379.0282764811491</v>
      </c>
      <c r="F392" s="234">
        <f t="shared" si="89"/>
        <v>0</v>
      </c>
      <c r="G392" s="234">
        <f t="shared" si="89"/>
        <v>0</v>
      </c>
      <c r="H392" s="234">
        <f t="shared" si="89"/>
        <v>0</v>
      </c>
      <c r="I392" s="234">
        <f t="shared" si="89"/>
        <v>98</v>
      </c>
      <c r="J392" s="234">
        <f t="shared" si="89"/>
        <v>13</v>
      </c>
      <c r="K392" s="234">
        <f t="shared" si="89"/>
        <v>8.5</v>
      </c>
      <c r="L392" s="234">
        <f t="shared" si="89"/>
        <v>19.5</v>
      </c>
      <c r="M392" s="234">
        <f t="shared" si="89"/>
        <v>0</v>
      </c>
      <c r="N392" s="234">
        <f t="shared" si="89"/>
        <v>48.900278810408921</v>
      </c>
      <c r="O392" s="234">
        <f t="shared" si="89"/>
        <v>49.878284386617096</v>
      </c>
      <c r="P392" s="234">
        <f t="shared" si="89"/>
        <v>10.710705278810408</v>
      </c>
      <c r="Q392" s="234">
        <f t="shared" si="89"/>
        <v>10.924919384386618</v>
      </c>
      <c r="R392" s="234">
        <f t="shared" si="89"/>
        <v>11.143417772074351</v>
      </c>
    </row>
    <row r="393" spans="1:18">
      <c r="A393" s="232" t="s">
        <v>60</v>
      </c>
      <c r="B393" s="259" t="s">
        <v>40</v>
      </c>
      <c r="C393" t="s">
        <v>52</v>
      </c>
      <c r="D393" s="234">
        <f t="shared" ref="D393:R393" si="90">D350*D$381</f>
        <v>26.65931777378815</v>
      </c>
      <c r="E393" s="234">
        <f t="shared" si="90"/>
        <v>82.741696588868948</v>
      </c>
      <c r="F393" s="234">
        <f t="shared" si="90"/>
        <v>113.50682226211849</v>
      </c>
      <c r="G393" s="234">
        <f t="shared" si="90"/>
        <v>116.32743267504488</v>
      </c>
      <c r="H393" s="234">
        <f t="shared" si="90"/>
        <v>117.3737881508079</v>
      </c>
      <c r="I393" s="234">
        <f t="shared" si="90"/>
        <v>159.63999918529629</v>
      </c>
      <c r="J393" s="234">
        <f t="shared" si="90"/>
        <v>126.74827492258814</v>
      </c>
      <c r="K393" s="234">
        <f t="shared" si="90"/>
        <v>111.57483604410805</v>
      </c>
      <c r="L393" s="234">
        <f t="shared" si="90"/>
        <v>140.41665323223285</v>
      </c>
      <c r="M393" s="234">
        <f t="shared" si="90"/>
        <v>149.93137952352154</v>
      </c>
      <c r="N393" s="234">
        <f t="shared" si="90"/>
        <v>135.71298718458692</v>
      </c>
      <c r="O393" s="234">
        <f t="shared" si="90"/>
        <v>140.42237830374333</v>
      </c>
      <c r="P393" s="234">
        <f t="shared" si="90"/>
        <v>144.46255697688144</v>
      </c>
      <c r="Q393" s="234">
        <f t="shared" si="90"/>
        <v>147.78880489179451</v>
      </c>
      <c r="R393" s="234">
        <f t="shared" si="90"/>
        <v>151.19031770051342</v>
      </c>
    </row>
    <row r="394" spans="1:18">
      <c r="A394" s="232" t="s">
        <v>323</v>
      </c>
      <c r="B394" s="259" t="s">
        <v>40</v>
      </c>
      <c r="C394" t="s">
        <v>52</v>
      </c>
      <c r="D394" s="234">
        <f t="shared" ref="D394:R394" si="91">D351*D$381</f>
        <v>1306.3065709156192</v>
      </c>
      <c r="E394" s="234">
        <f t="shared" si="91"/>
        <v>2647.7342908438063</v>
      </c>
      <c r="F394" s="234">
        <f t="shared" si="91"/>
        <v>2610.6569120287254</v>
      </c>
      <c r="G394" s="234">
        <f t="shared" si="91"/>
        <v>2559.2035188509876</v>
      </c>
      <c r="H394" s="234">
        <f t="shared" si="91"/>
        <v>2464.8495511669662</v>
      </c>
      <c r="I394" s="234">
        <f t="shared" si="91"/>
        <v>2435.6920654466612</v>
      </c>
      <c r="J394" s="234">
        <f t="shared" si="91"/>
        <v>2407.6682243500463</v>
      </c>
      <c r="K394" s="234">
        <f t="shared" si="91"/>
        <v>2385.5607971809768</v>
      </c>
      <c r="L394" s="234">
        <f t="shared" si="91"/>
        <v>2337.1406286682231</v>
      </c>
      <c r="M394" s="234">
        <f t="shared" si="91"/>
        <v>2222.8907854602471</v>
      </c>
      <c r="N394" s="234">
        <f t="shared" si="91"/>
        <v>2180.5358927952748</v>
      </c>
      <c r="O394" s="234">
        <f t="shared" si="91"/>
        <v>2133.602516734054</v>
      </c>
      <c r="P394" s="234">
        <f t="shared" si="91"/>
        <v>2042.5227153706639</v>
      </c>
      <c r="Q394" s="234">
        <f t="shared" si="91"/>
        <v>1946.5092841706696</v>
      </c>
      <c r="R394" s="234">
        <f t="shared" si="91"/>
        <v>1845.392569925644</v>
      </c>
    </row>
    <row r="395" spans="1:18">
      <c r="A395" s="232" t="s">
        <v>236</v>
      </c>
      <c r="B395" s="259" t="s">
        <v>40</v>
      </c>
      <c r="C395" t="s">
        <v>52</v>
      </c>
      <c r="D395" s="234">
        <f t="shared" ref="D395:R395" si="92">D352*D$381</f>
        <v>653.1532854578096</v>
      </c>
      <c r="E395" s="234">
        <f t="shared" si="92"/>
        <v>1999.5910008976659</v>
      </c>
      <c r="F395" s="234">
        <f t="shared" si="92"/>
        <v>2667.4103231597851</v>
      </c>
      <c r="G395" s="234">
        <f t="shared" si="92"/>
        <v>2617.3672351885098</v>
      </c>
      <c r="H395" s="234">
        <f t="shared" si="92"/>
        <v>2523.5364452423705</v>
      </c>
      <c r="I395" s="234">
        <f t="shared" si="92"/>
        <v>2466.5120650393096</v>
      </c>
      <c r="J395" s="234">
        <f t="shared" si="92"/>
        <v>2464.54236181134</v>
      </c>
      <c r="K395" s="234">
        <f t="shared" si="92"/>
        <v>2437.0982152030306</v>
      </c>
      <c r="L395" s="234">
        <f t="shared" si="92"/>
        <v>2397.5989552843394</v>
      </c>
      <c r="M395" s="234">
        <f t="shared" si="92"/>
        <v>2297.8564752220077</v>
      </c>
      <c r="N395" s="234">
        <f t="shared" si="92"/>
        <v>2223.9422469823639</v>
      </c>
      <c r="O395" s="234">
        <f t="shared" si="92"/>
        <v>2178.8745636926174</v>
      </c>
      <c r="P395" s="234">
        <f t="shared" si="92"/>
        <v>2109.3986412196996</v>
      </c>
      <c r="Q395" s="234">
        <f t="shared" si="92"/>
        <v>2014.9412269243735</v>
      </c>
      <c r="R395" s="234">
        <f t="shared" si="92"/>
        <v>1915.4160198898635</v>
      </c>
    </row>
    <row r="397" spans="1:18">
      <c r="A397" s="65" t="s">
        <v>338</v>
      </c>
      <c r="B397" s="389" t="s">
        <v>10</v>
      </c>
      <c r="C397" s="389" t="s">
        <v>11</v>
      </c>
      <c r="D397" s="388" t="s">
        <v>35</v>
      </c>
      <c r="E397" s="388" t="s">
        <v>36</v>
      </c>
      <c r="F397" s="388" t="s">
        <v>37</v>
      </c>
      <c r="G397" s="388" t="s">
        <v>15</v>
      </c>
      <c r="H397" s="388" t="s">
        <v>16</v>
      </c>
      <c r="I397" s="388" t="s">
        <v>0</v>
      </c>
      <c r="J397" s="388" t="s">
        <v>1</v>
      </c>
      <c r="K397" s="388" t="s">
        <v>2</v>
      </c>
      <c r="L397" s="388" t="s">
        <v>3</v>
      </c>
      <c r="M397" s="388" t="s">
        <v>4</v>
      </c>
      <c r="N397" s="388" t="s">
        <v>5</v>
      </c>
      <c r="O397" s="388" t="s">
        <v>6</v>
      </c>
      <c r="P397" s="388" t="s">
        <v>7</v>
      </c>
      <c r="Q397" s="388" t="s">
        <v>8</v>
      </c>
      <c r="R397" s="388" t="s">
        <v>9</v>
      </c>
    </row>
    <row r="398" spans="1:18">
      <c r="A398" s="232" t="s">
        <v>322</v>
      </c>
      <c r="B398" s="259" t="s">
        <v>40</v>
      </c>
      <c r="C398" t="s">
        <v>52</v>
      </c>
      <c r="D398" s="234">
        <f t="shared" ref="D398:R398" si="93">D356*D$381</f>
        <v>0</v>
      </c>
      <c r="E398" s="234">
        <f t="shared" si="93"/>
        <v>0</v>
      </c>
      <c r="F398" s="234">
        <f t="shared" si="93"/>
        <v>0</v>
      </c>
      <c r="G398" s="234">
        <f t="shared" si="93"/>
        <v>0</v>
      </c>
      <c r="H398" s="234">
        <f t="shared" si="93"/>
        <v>0</v>
      </c>
      <c r="I398" s="234">
        <f t="shared" si="93"/>
        <v>1550.8165819319515</v>
      </c>
      <c r="J398" s="234">
        <f t="shared" si="93"/>
        <v>3426.0607013517019</v>
      </c>
      <c r="K398" s="234">
        <f t="shared" si="93"/>
        <v>6280.930854760084</v>
      </c>
      <c r="L398" s="234">
        <f t="shared" si="93"/>
        <v>8351.7178275710266</v>
      </c>
      <c r="M398" s="234">
        <f t="shared" si="93"/>
        <v>9864.2560467844633</v>
      </c>
      <c r="N398" s="234">
        <f t="shared" si="93"/>
        <v>12490.074496664913</v>
      </c>
      <c r="O398" s="234">
        <f t="shared" si="93"/>
        <v>17102.945593815828</v>
      </c>
      <c r="P398" s="234">
        <f t="shared" si="93"/>
        <v>20656.312879397265</v>
      </c>
      <c r="Q398" s="234">
        <f t="shared" si="93"/>
        <v>22803.904549802857</v>
      </c>
      <c r="R398" s="234">
        <f t="shared" si="93"/>
        <v>16766.404518057505</v>
      </c>
    </row>
    <row r="399" spans="1:18">
      <c r="A399" s="232" t="s">
        <v>59</v>
      </c>
      <c r="B399" s="259" t="s">
        <v>40</v>
      </c>
      <c r="C399" t="s">
        <v>52</v>
      </c>
      <c r="D399" s="234">
        <f t="shared" ref="D399:R399" si="94">D357*D$381</f>
        <v>0</v>
      </c>
      <c r="E399" s="234">
        <f t="shared" si="94"/>
        <v>0</v>
      </c>
      <c r="F399" s="234">
        <f t="shared" si="94"/>
        <v>0</v>
      </c>
      <c r="G399" s="234">
        <f t="shared" si="94"/>
        <v>0</v>
      </c>
      <c r="H399" s="234">
        <f t="shared" si="94"/>
        <v>1530.6452874462261</v>
      </c>
      <c r="I399" s="234">
        <f t="shared" si="94"/>
        <v>1758.7631199650732</v>
      </c>
      <c r="J399" s="234">
        <f t="shared" si="94"/>
        <v>2650.520955059018</v>
      </c>
      <c r="K399" s="234">
        <f t="shared" si="94"/>
        <v>1824.4663567999996</v>
      </c>
      <c r="L399" s="234">
        <f t="shared" si="94"/>
        <v>1364.203541818182</v>
      </c>
      <c r="M399" s="234">
        <f t="shared" si="94"/>
        <v>3531.4389688309088</v>
      </c>
      <c r="N399" s="234">
        <f t="shared" si="94"/>
        <v>5223.8485050042891</v>
      </c>
      <c r="O399" s="234">
        <f t="shared" si="94"/>
        <v>4190.9794292650849</v>
      </c>
      <c r="P399" s="234">
        <f t="shared" si="94"/>
        <v>3534.1949428409498</v>
      </c>
      <c r="Q399" s="234">
        <f t="shared" si="94"/>
        <v>3041.6236133753628</v>
      </c>
      <c r="R399" s="234">
        <f t="shared" si="94"/>
        <v>2395.5348059021217</v>
      </c>
    </row>
    <row r="400" spans="1:18">
      <c r="A400" s="232" t="s">
        <v>63</v>
      </c>
      <c r="B400" s="259" t="s">
        <v>40</v>
      </c>
      <c r="C400" t="s">
        <v>52</v>
      </c>
      <c r="D400" s="234">
        <f t="shared" ref="D400:R400" si="95">D358*D$381</f>
        <v>0</v>
      </c>
      <c r="E400" s="234">
        <f t="shared" si="95"/>
        <v>0</v>
      </c>
      <c r="F400" s="234">
        <f t="shared" si="95"/>
        <v>0</v>
      </c>
      <c r="G400" s="234">
        <f t="shared" si="95"/>
        <v>0</v>
      </c>
      <c r="H400" s="234">
        <f t="shared" si="95"/>
        <v>0</v>
      </c>
      <c r="I400" s="234">
        <f t="shared" si="95"/>
        <v>0</v>
      </c>
      <c r="J400" s="234">
        <f t="shared" si="95"/>
        <v>0</v>
      </c>
      <c r="K400" s="234">
        <f t="shared" si="95"/>
        <v>0</v>
      </c>
      <c r="L400" s="234">
        <f t="shared" si="95"/>
        <v>0</v>
      </c>
      <c r="M400" s="234">
        <f t="shared" si="95"/>
        <v>828.76868702290096</v>
      </c>
      <c r="N400" s="234">
        <f t="shared" si="95"/>
        <v>946.32928224192153</v>
      </c>
      <c r="O400" s="234">
        <f t="shared" si="95"/>
        <v>1042.6378864169287</v>
      </c>
      <c r="P400" s="234">
        <f t="shared" si="95"/>
        <v>1833.7386557648272</v>
      </c>
      <c r="Q400" s="234">
        <f t="shared" si="95"/>
        <v>9407.876674886551</v>
      </c>
      <c r="R400" s="234">
        <f t="shared" si="95"/>
        <v>10043.956743522549</v>
      </c>
    </row>
    <row r="401" spans="1:18">
      <c r="A401" s="232" t="s">
        <v>245</v>
      </c>
      <c r="B401" s="259" t="s">
        <v>40</v>
      </c>
      <c r="C401" t="s">
        <v>52</v>
      </c>
      <c r="D401" s="234">
        <f t="shared" ref="D401:R401" si="96">D359*D$381</f>
        <v>0</v>
      </c>
      <c r="E401" s="234">
        <f t="shared" si="96"/>
        <v>0</v>
      </c>
      <c r="F401" s="234">
        <f t="shared" si="96"/>
        <v>0</v>
      </c>
      <c r="G401" s="234">
        <f t="shared" si="96"/>
        <v>0</v>
      </c>
      <c r="H401" s="234">
        <f t="shared" si="96"/>
        <v>0</v>
      </c>
      <c r="I401" s="234">
        <f t="shared" si="96"/>
        <v>0</v>
      </c>
      <c r="J401" s="234">
        <f t="shared" si="96"/>
        <v>0</v>
      </c>
      <c r="K401" s="234">
        <f t="shared" si="96"/>
        <v>0</v>
      </c>
      <c r="L401" s="234">
        <f t="shared" si="96"/>
        <v>0</v>
      </c>
      <c r="M401" s="234">
        <f t="shared" si="96"/>
        <v>321.75525343079295</v>
      </c>
      <c r="N401" s="234">
        <f t="shared" si="96"/>
        <v>0</v>
      </c>
      <c r="O401" s="234">
        <f t="shared" si="96"/>
        <v>0</v>
      </c>
      <c r="P401" s="234">
        <f t="shared" si="96"/>
        <v>0</v>
      </c>
      <c r="Q401" s="234">
        <f t="shared" si="96"/>
        <v>0</v>
      </c>
      <c r="R401" s="234">
        <f t="shared" si="96"/>
        <v>0</v>
      </c>
    </row>
    <row r="402" spans="1:18">
      <c r="A402" s="232" t="s">
        <v>323</v>
      </c>
      <c r="B402" s="259" t="s">
        <v>40</v>
      </c>
      <c r="C402" t="s">
        <v>52</v>
      </c>
      <c r="D402" s="234">
        <f t="shared" ref="D402:R402" si="97">D360*D$381</f>
        <v>0</v>
      </c>
      <c r="E402" s="234">
        <f t="shared" si="97"/>
        <v>0</v>
      </c>
      <c r="F402" s="234">
        <f t="shared" si="97"/>
        <v>0</v>
      </c>
      <c r="G402" s="234">
        <f t="shared" si="97"/>
        <v>0</v>
      </c>
      <c r="H402" s="234">
        <f t="shared" si="97"/>
        <v>1530.6452874462261</v>
      </c>
      <c r="I402" s="234">
        <f t="shared" si="97"/>
        <v>3309.5797018970247</v>
      </c>
      <c r="J402" s="234">
        <f t="shared" si="97"/>
        <v>6076.5816564107208</v>
      </c>
      <c r="K402" s="234">
        <f t="shared" si="97"/>
        <v>8105.3972115600836</v>
      </c>
      <c r="L402" s="234">
        <f t="shared" si="97"/>
        <v>9715.921369389207</v>
      </c>
      <c r="M402" s="234">
        <f t="shared" si="97"/>
        <v>12245.171075161677</v>
      </c>
      <c r="N402" s="234">
        <f t="shared" si="97"/>
        <v>16767.593719427281</v>
      </c>
      <c r="O402" s="234">
        <f t="shared" si="97"/>
        <v>20251.287136663985</v>
      </c>
      <c r="P402" s="234">
        <f t="shared" si="97"/>
        <v>22356.769166473387</v>
      </c>
      <c r="Q402" s="234">
        <f t="shared" si="97"/>
        <v>16437.651488291671</v>
      </c>
      <c r="R402" s="234">
        <f t="shared" si="97"/>
        <v>9117.9825804370776</v>
      </c>
    </row>
    <row r="403" spans="1:18">
      <c r="A403" s="232" t="s">
        <v>236</v>
      </c>
      <c r="B403" s="259" t="s">
        <v>40</v>
      </c>
      <c r="C403" t="s">
        <v>52</v>
      </c>
      <c r="D403" s="234">
        <f t="shared" ref="D403:R403" si="98">D361*D$381</f>
        <v>0</v>
      </c>
      <c r="E403" s="234">
        <f t="shared" si="98"/>
        <v>0</v>
      </c>
      <c r="F403" s="234">
        <f t="shared" si="98"/>
        <v>0</v>
      </c>
      <c r="G403" s="234">
        <f t="shared" si="98"/>
        <v>0</v>
      </c>
      <c r="H403" s="234">
        <f t="shared" si="98"/>
        <v>765.32264372311306</v>
      </c>
      <c r="I403" s="234">
        <f t="shared" si="98"/>
        <v>2430.1981419144881</v>
      </c>
      <c r="J403" s="234">
        <f t="shared" si="98"/>
        <v>4751.3211788812105</v>
      </c>
      <c r="K403" s="234">
        <f t="shared" si="98"/>
        <v>7193.1640331600838</v>
      </c>
      <c r="L403" s="234">
        <f t="shared" si="98"/>
        <v>9033.8195984801168</v>
      </c>
      <c r="M403" s="234">
        <f t="shared" si="98"/>
        <v>11054.713560973069</v>
      </c>
      <c r="N403" s="234">
        <f t="shared" si="98"/>
        <v>14628.834108046098</v>
      </c>
      <c r="O403" s="234">
        <f t="shared" si="98"/>
        <v>18677.116365239905</v>
      </c>
      <c r="P403" s="234">
        <f t="shared" si="98"/>
        <v>21506.541022935322</v>
      </c>
      <c r="Q403" s="234">
        <f t="shared" si="98"/>
        <v>19620.778019047262</v>
      </c>
      <c r="R403" s="234">
        <f t="shared" si="98"/>
        <v>12942.193549247291</v>
      </c>
    </row>
    <row r="405" spans="1:18">
      <c r="A405" s="65" t="s">
        <v>335</v>
      </c>
      <c r="B405" s="389" t="s">
        <v>10</v>
      </c>
      <c r="C405" s="389" t="s">
        <v>11</v>
      </c>
      <c r="D405" s="388" t="s">
        <v>35</v>
      </c>
      <c r="E405" s="388" t="s">
        <v>36</v>
      </c>
      <c r="F405" s="388" t="s">
        <v>37</v>
      </c>
      <c r="G405" s="388" t="s">
        <v>15</v>
      </c>
      <c r="H405" s="388" t="s">
        <v>16</v>
      </c>
      <c r="I405" s="388" t="s">
        <v>0</v>
      </c>
      <c r="J405" s="388" t="s">
        <v>1</v>
      </c>
      <c r="K405" s="388" t="s">
        <v>2</v>
      </c>
      <c r="L405" s="388" t="s">
        <v>3</v>
      </c>
      <c r="M405" s="388" t="s">
        <v>4</v>
      </c>
      <c r="N405" s="388" t="s">
        <v>5</v>
      </c>
      <c r="O405" s="388" t="s">
        <v>6</v>
      </c>
      <c r="P405" s="388" t="s">
        <v>7</v>
      </c>
      <c r="Q405" s="388" t="s">
        <v>8</v>
      </c>
      <c r="R405" s="388" t="s">
        <v>9</v>
      </c>
    </row>
    <row r="406" spans="1:18">
      <c r="A406" s="232" t="s">
        <v>322</v>
      </c>
      <c r="B406" s="259" t="s">
        <v>40</v>
      </c>
      <c r="C406" t="s">
        <v>52</v>
      </c>
      <c r="D406" s="234">
        <f t="shared" ref="D406:R406" si="99">D365*D$381</f>
        <v>0</v>
      </c>
      <c r="E406" s="234">
        <f t="shared" si="99"/>
        <v>0</v>
      </c>
      <c r="F406" s="234">
        <f t="shared" si="99"/>
        <v>0</v>
      </c>
      <c r="G406" s="234">
        <f t="shared" si="99"/>
        <v>0</v>
      </c>
      <c r="H406" s="234">
        <f t="shared" si="99"/>
        <v>0</v>
      </c>
      <c r="I406" s="234">
        <f t="shared" si="99"/>
        <v>0</v>
      </c>
      <c r="J406" s="234">
        <f t="shared" si="99"/>
        <v>0</v>
      </c>
      <c r="K406" s="234">
        <f t="shared" si="99"/>
        <v>0</v>
      </c>
      <c r="L406" s="234">
        <f t="shared" si="99"/>
        <v>0</v>
      </c>
      <c r="M406" s="234">
        <f t="shared" si="99"/>
        <v>0</v>
      </c>
      <c r="N406" s="234">
        <f t="shared" si="99"/>
        <v>21339.56429113185</v>
      </c>
      <c r="O406" s="234">
        <f t="shared" si="99"/>
        <v>16450.774980113634</v>
      </c>
      <c r="P406" s="234">
        <f t="shared" si="99"/>
        <v>11325.766155101805</v>
      </c>
      <c r="Q406" s="234">
        <f t="shared" si="99"/>
        <v>5956.4019089442991</v>
      </c>
      <c r="R406" s="234">
        <f t="shared" si="99"/>
        <v>334.30253316222849</v>
      </c>
    </row>
    <row r="407" spans="1:18">
      <c r="A407" s="232" t="s">
        <v>59</v>
      </c>
      <c r="B407" s="259" t="s">
        <v>40</v>
      </c>
      <c r="C407" t="s">
        <v>52</v>
      </c>
      <c r="D407" s="234">
        <f t="shared" ref="D407:R407" si="100">D366*D$381</f>
        <v>0</v>
      </c>
      <c r="E407" s="234">
        <f t="shared" si="100"/>
        <v>0</v>
      </c>
      <c r="F407" s="234">
        <f t="shared" si="100"/>
        <v>0</v>
      </c>
      <c r="G407" s="234">
        <f t="shared" si="100"/>
        <v>0</v>
      </c>
      <c r="H407" s="234">
        <f t="shared" si="100"/>
        <v>0</v>
      </c>
      <c r="I407" s="234">
        <f t="shared" si="100"/>
        <v>0</v>
      </c>
      <c r="J407" s="234">
        <f t="shared" si="100"/>
        <v>0</v>
      </c>
      <c r="K407" s="234">
        <f t="shared" si="100"/>
        <v>0</v>
      </c>
      <c r="L407" s="234">
        <f t="shared" si="100"/>
        <v>0</v>
      </c>
      <c r="M407" s="234">
        <f t="shared" si="100"/>
        <v>26151.426827367457</v>
      </c>
      <c r="N407" s="234">
        <f t="shared" si="100"/>
        <v>154.42193308550185</v>
      </c>
      <c r="O407" s="234">
        <f t="shared" si="100"/>
        <v>157.51037174721188</v>
      </c>
      <c r="P407" s="234">
        <f t="shared" si="100"/>
        <v>160.66057918215614</v>
      </c>
      <c r="Q407" s="234">
        <f t="shared" si="100"/>
        <v>163.87379076579927</v>
      </c>
      <c r="R407" s="234">
        <f t="shared" si="100"/>
        <v>167.15126658111527</v>
      </c>
    </row>
    <row r="408" spans="1:18">
      <c r="A408" s="232" t="s">
        <v>60</v>
      </c>
      <c r="B408" s="259" t="s">
        <v>40</v>
      </c>
      <c r="C408" t="s">
        <v>52</v>
      </c>
      <c r="D408" s="234">
        <f t="shared" ref="D408:R408" si="101">D367*D$381</f>
        <v>0</v>
      </c>
      <c r="E408" s="234">
        <f t="shared" si="101"/>
        <v>0</v>
      </c>
      <c r="F408" s="234">
        <f t="shared" si="101"/>
        <v>0</v>
      </c>
      <c r="G408" s="234">
        <f t="shared" si="101"/>
        <v>0</v>
      </c>
      <c r="H408" s="234">
        <f t="shared" si="101"/>
        <v>0</v>
      </c>
      <c r="I408" s="234">
        <f t="shared" si="101"/>
        <v>0</v>
      </c>
      <c r="J408" s="234">
        <f t="shared" si="101"/>
        <v>0</v>
      </c>
      <c r="K408" s="234">
        <f t="shared" si="101"/>
        <v>0</v>
      </c>
      <c r="L408" s="234">
        <f t="shared" si="101"/>
        <v>0</v>
      </c>
      <c r="M408" s="234">
        <f t="shared" si="101"/>
        <v>5230.2853654734918</v>
      </c>
      <c r="N408" s="234">
        <f t="shared" si="101"/>
        <v>5365.7754594000626</v>
      </c>
      <c r="O408" s="234">
        <f t="shared" si="101"/>
        <v>5504.5930429375067</v>
      </c>
      <c r="P408" s="234">
        <f t="shared" si="101"/>
        <v>5646.8170196326882</v>
      </c>
      <c r="Q408" s="234">
        <f t="shared" si="101"/>
        <v>5792.5281181785022</v>
      </c>
      <c r="R408" s="234">
        <f t="shared" si="101"/>
        <v>167.15126658111527</v>
      </c>
    </row>
    <row r="409" spans="1:18">
      <c r="A409" s="232" t="s">
        <v>323</v>
      </c>
      <c r="B409" s="259" t="s">
        <v>40</v>
      </c>
      <c r="C409" t="s">
        <v>52</v>
      </c>
      <c r="D409" s="234">
        <f t="shared" ref="D409:R409" si="102">D368*D$381</f>
        <v>0</v>
      </c>
      <c r="E409" s="234">
        <f t="shared" si="102"/>
        <v>0</v>
      </c>
      <c r="F409" s="234">
        <f t="shared" si="102"/>
        <v>0</v>
      </c>
      <c r="G409" s="234">
        <f t="shared" si="102"/>
        <v>0</v>
      </c>
      <c r="H409" s="234">
        <f t="shared" si="102"/>
        <v>0</v>
      </c>
      <c r="I409" s="234">
        <f t="shared" si="102"/>
        <v>0</v>
      </c>
      <c r="J409" s="234">
        <f t="shared" si="102"/>
        <v>0</v>
      </c>
      <c r="K409" s="234">
        <f t="shared" si="102"/>
        <v>0</v>
      </c>
      <c r="L409" s="234">
        <f t="shared" si="102"/>
        <v>0</v>
      </c>
      <c r="M409" s="234">
        <f t="shared" si="102"/>
        <v>20921.141461893967</v>
      </c>
      <c r="N409" s="234">
        <f t="shared" si="102"/>
        <v>16128.210764817288</v>
      </c>
      <c r="O409" s="234">
        <f t="shared" si="102"/>
        <v>11103.692308923339</v>
      </c>
      <c r="P409" s="234">
        <f t="shared" si="102"/>
        <v>5839.6097146512739</v>
      </c>
      <c r="Q409" s="234">
        <f t="shared" si="102"/>
        <v>327.74758153159655</v>
      </c>
      <c r="R409" s="234">
        <f t="shared" si="102"/>
        <v>334.30253316222849</v>
      </c>
    </row>
    <row r="410" spans="1:18">
      <c r="A410" s="232" t="s">
        <v>236</v>
      </c>
      <c r="B410" s="259" t="s">
        <v>40</v>
      </c>
      <c r="C410" t="s">
        <v>52</v>
      </c>
      <c r="D410" s="234">
        <f t="shared" ref="D410:R410" si="103">D369*D$381</f>
        <v>0</v>
      </c>
      <c r="E410" s="234">
        <f t="shared" si="103"/>
        <v>0</v>
      </c>
      <c r="F410" s="234">
        <f t="shared" si="103"/>
        <v>0</v>
      </c>
      <c r="G410" s="234">
        <f t="shared" si="103"/>
        <v>0</v>
      </c>
      <c r="H410" s="234">
        <f t="shared" si="103"/>
        <v>0</v>
      </c>
      <c r="I410" s="234">
        <f t="shared" si="103"/>
        <v>0</v>
      </c>
      <c r="J410" s="234">
        <f t="shared" si="103"/>
        <v>0</v>
      </c>
      <c r="K410" s="234">
        <f t="shared" si="103"/>
        <v>0</v>
      </c>
      <c r="L410" s="234">
        <f t="shared" si="103"/>
        <v>0</v>
      </c>
      <c r="M410" s="234">
        <f t="shared" si="103"/>
        <v>10460.570730946984</v>
      </c>
      <c r="N410" s="234">
        <f t="shared" si="103"/>
        <v>18733.887527974566</v>
      </c>
      <c r="O410" s="234">
        <f t="shared" si="103"/>
        <v>13777.233644518486</v>
      </c>
      <c r="P410" s="234">
        <f t="shared" si="103"/>
        <v>8582.6879348765397</v>
      </c>
      <c r="Q410" s="234">
        <f t="shared" si="103"/>
        <v>3142.0747452379478</v>
      </c>
      <c r="R410" s="234">
        <f t="shared" si="103"/>
        <v>334.30253316222849</v>
      </c>
    </row>
    <row r="412" spans="1:18">
      <c r="A412" s="65" t="s">
        <v>555</v>
      </c>
      <c r="B412" s="389" t="s">
        <v>10</v>
      </c>
      <c r="C412" s="389" t="s">
        <v>11</v>
      </c>
      <c r="D412" s="388" t="s">
        <v>35</v>
      </c>
      <c r="E412" s="388" t="s">
        <v>36</v>
      </c>
      <c r="F412" s="388" t="s">
        <v>37</v>
      </c>
      <c r="G412" s="388" t="s">
        <v>15</v>
      </c>
      <c r="H412" s="388" t="s">
        <v>16</v>
      </c>
      <c r="I412" s="388" t="s">
        <v>0</v>
      </c>
      <c r="J412" s="388" t="s">
        <v>1</v>
      </c>
      <c r="K412" s="388" t="s">
        <v>2</v>
      </c>
      <c r="L412" s="388" t="s">
        <v>3</v>
      </c>
      <c r="M412" s="388" t="s">
        <v>4</v>
      </c>
      <c r="N412" s="388" t="s">
        <v>5</v>
      </c>
      <c r="O412" s="388" t="s">
        <v>6</v>
      </c>
      <c r="P412" s="388" t="s">
        <v>7</v>
      </c>
      <c r="Q412" s="388" t="s">
        <v>8</v>
      </c>
      <c r="R412" s="388" t="s">
        <v>9</v>
      </c>
    </row>
    <row r="413" spans="1:18">
      <c r="A413" s="232" t="s">
        <v>322</v>
      </c>
      <c r="B413" s="259" t="s">
        <v>40</v>
      </c>
      <c r="C413" s="285" t="s">
        <v>52</v>
      </c>
      <c r="D413" s="234">
        <f>D373*D$381</f>
        <v>0</v>
      </c>
      <c r="E413" s="234">
        <f t="shared" ref="E413:R413" si="104">E373*E$381</f>
        <v>0</v>
      </c>
      <c r="F413" s="234">
        <f t="shared" si="104"/>
        <v>0</v>
      </c>
      <c r="G413" s="234">
        <f t="shared" si="104"/>
        <v>0</v>
      </c>
      <c r="H413" s="234">
        <f t="shared" si="104"/>
        <v>0</v>
      </c>
      <c r="I413" s="234">
        <f t="shared" si="104"/>
        <v>0</v>
      </c>
      <c r="J413" s="234">
        <f t="shared" si="104"/>
        <v>0</v>
      </c>
      <c r="K413" s="234">
        <f t="shared" si="104"/>
        <v>0</v>
      </c>
      <c r="L413" s="234">
        <f t="shared" si="104"/>
        <v>1916.0735236605399</v>
      </c>
      <c r="M413" s="234">
        <f t="shared" si="104"/>
        <v>972.66327727806038</v>
      </c>
      <c r="N413" s="234">
        <f t="shared" si="104"/>
        <v>0</v>
      </c>
      <c r="O413" s="234">
        <f t="shared" si="104"/>
        <v>0</v>
      </c>
      <c r="P413" s="234">
        <f t="shared" si="104"/>
        <v>0</v>
      </c>
      <c r="Q413" s="234">
        <f t="shared" si="104"/>
        <v>0</v>
      </c>
      <c r="R413" s="234">
        <f t="shared" si="104"/>
        <v>0</v>
      </c>
    </row>
    <row r="414" spans="1:18">
      <c r="A414" s="232" t="s">
        <v>59</v>
      </c>
      <c r="B414" s="259" t="s">
        <v>40</v>
      </c>
      <c r="C414" s="285" t="s">
        <v>52</v>
      </c>
      <c r="D414" s="234">
        <f t="shared" ref="D414:R414" si="105">D374*D$381</f>
        <v>0</v>
      </c>
      <c r="E414" s="234">
        <f t="shared" si="105"/>
        <v>0</v>
      </c>
      <c r="F414" s="234">
        <f t="shared" si="105"/>
        <v>0</v>
      </c>
      <c r="G414" s="234">
        <f t="shared" si="105"/>
        <v>0</v>
      </c>
      <c r="H414" s="234">
        <f t="shared" si="105"/>
        <v>0</v>
      </c>
      <c r="I414" s="234">
        <f t="shared" si="105"/>
        <v>0</v>
      </c>
      <c r="J414" s="234">
        <f t="shared" si="105"/>
        <v>0</v>
      </c>
      <c r="K414" s="234">
        <f t="shared" si="105"/>
        <v>0</v>
      </c>
      <c r="L414" s="234">
        <f t="shared" si="105"/>
        <v>0</v>
      </c>
      <c r="M414" s="234">
        <f t="shared" si="105"/>
        <v>0</v>
      </c>
      <c r="N414" s="234">
        <f t="shared" si="105"/>
        <v>0</v>
      </c>
      <c r="O414" s="234">
        <f t="shared" si="105"/>
        <v>0</v>
      </c>
      <c r="P414" s="234">
        <f t="shared" si="105"/>
        <v>0</v>
      </c>
      <c r="Q414" s="234">
        <f t="shared" si="105"/>
        <v>0</v>
      </c>
      <c r="R414" s="234">
        <f t="shared" si="105"/>
        <v>0</v>
      </c>
    </row>
    <row r="415" spans="1:18">
      <c r="A415" s="232" t="s">
        <v>60</v>
      </c>
      <c r="B415" s="259" t="s">
        <v>40</v>
      </c>
      <c r="C415" s="285" t="s">
        <v>52</v>
      </c>
      <c r="D415" s="234">
        <f t="shared" ref="D415:R415" si="106">D375*D$381</f>
        <v>0</v>
      </c>
      <c r="E415" s="234">
        <f t="shared" si="106"/>
        <v>0</v>
      </c>
      <c r="F415" s="234">
        <f t="shared" si="106"/>
        <v>0</v>
      </c>
      <c r="G415" s="234">
        <f t="shared" si="106"/>
        <v>0</v>
      </c>
      <c r="H415" s="234">
        <f t="shared" si="106"/>
        <v>0</v>
      </c>
      <c r="I415" s="234">
        <f t="shared" si="106"/>
        <v>0</v>
      </c>
      <c r="J415" s="234">
        <f t="shared" si="106"/>
        <v>0</v>
      </c>
      <c r="K415" s="234">
        <f t="shared" si="106"/>
        <v>0</v>
      </c>
      <c r="L415" s="234">
        <f t="shared" si="106"/>
        <v>958.03676183026994</v>
      </c>
      <c r="M415" s="234">
        <f t="shared" si="106"/>
        <v>972.66327727806038</v>
      </c>
      <c r="N415" s="234">
        <f t="shared" si="106"/>
        <v>0</v>
      </c>
      <c r="O415" s="234">
        <f t="shared" si="106"/>
        <v>0</v>
      </c>
      <c r="P415" s="234">
        <f t="shared" si="106"/>
        <v>0</v>
      </c>
      <c r="Q415" s="234">
        <f t="shared" si="106"/>
        <v>0</v>
      </c>
      <c r="R415" s="234">
        <f t="shared" si="106"/>
        <v>0</v>
      </c>
    </row>
    <row r="416" spans="1:18">
      <c r="A416" s="232" t="s">
        <v>323</v>
      </c>
      <c r="B416" s="259" t="s">
        <v>40</v>
      </c>
      <c r="C416" s="285" t="s">
        <v>52</v>
      </c>
      <c r="D416" s="234">
        <f t="shared" ref="D416:R416" si="107">D376*D$381</f>
        <v>0</v>
      </c>
      <c r="E416" s="234">
        <f t="shared" si="107"/>
        <v>0</v>
      </c>
      <c r="F416" s="234">
        <f t="shared" si="107"/>
        <v>0</v>
      </c>
      <c r="G416" s="234">
        <f t="shared" si="107"/>
        <v>0</v>
      </c>
      <c r="H416" s="234">
        <f t="shared" si="107"/>
        <v>0</v>
      </c>
      <c r="I416" s="234">
        <f t="shared" si="107"/>
        <v>0</v>
      </c>
      <c r="J416" s="234">
        <f t="shared" si="107"/>
        <v>0</v>
      </c>
      <c r="K416" s="234">
        <f t="shared" si="107"/>
        <v>0</v>
      </c>
      <c r="L416" s="234">
        <f t="shared" si="107"/>
        <v>958.03676183026994</v>
      </c>
      <c r="M416" s="234">
        <f t="shared" si="107"/>
        <v>0</v>
      </c>
      <c r="N416" s="234">
        <f t="shared" si="107"/>
        <v>0</v>
      </c>
      <c r="O416" s="234">
        <f t="shared" si="107"/>
        <v>0</v>
      </c>
      <c r="P416" s="234">
        <f t="shared" si="107"/>
        <v>0</v>
      </c>
      <c r="Q416" s="234">
        <f t="shared" si="107"/>
        <v>0</v>
      </c>
      <c r="R416" s="234">
        <f t="shared" si="107"/>
        <v>0</v>
      </c>
    </row>
    <row r="417" spans="1:18">
      <c r="A417" s="232" t="s">
        <v>236</v>
      </c>
      <c r="B417" s="259" t="s">
        <v>40</v>
      </c>
      <c r="C417" s="285" t="s">
        <v>52</v>
      </c>
      <c r="D417" s="234">
        <f t="shared" ref="D417:R417" si="108">D377*D$381</f>
        <v>0</v>
      </c>
      <c r="E417" s="234">
        <f t="shared" si="108"/>
        <v>0</v>
      </c>
      <c r="F417" s="234">
        <f t="shared" si="108"/>
        <v>0</v>
      </c>
      <c r="G417" s="234">
        <f t="shared" si="108"/>
        <v>0</v>
      </c>
      <c r="H417" s="234">
        <f t="shared" si="108"/>
        <v>0</v>
      </c>
      <c r="I417" s="234">
        <f t="shared" si="108"/>
        <v>0</v>
      </c>
      <c r="J417" s="234">
        <f t="shared" si="108"/>
        <v>0</v>
      </c>
      <c r="K417" s="234">
        <f t="shared" si="108"/>
        <v>0</v>
      </c>
      <c r="L417" s="234">
        <f t="shared" si="108"/>
        <v>1437.0551427454047</v>
      </c>
      <c r="M417" s="234">
        <f t="shared" si="108"/>
        <v>486.33163863903019</v>
      </c>
      <c r="N417" s="234">
        <f t="shared" si="108"/>
        <v>0</v>
      </c>
      <c r="O417" s="234">
        <f t="shared" si="108"/>
        <v>0</v>
      </c>
      <c r="P417" s="234">
        <f t="shared" si="108"/>
        <v>0</v>
      </c>
      <c r="Q417" s="234">
        <f t="shared" si="108"/>
        <v>0</v>
      </c>
      <c r="R417" s="234">
        <f t="shared" si="108"/>
        <v>0</v>
      </c>
    </row>
    <row r="419" spans="1:18" ht="18">
      <c r="A419" s="256" t="s">
        <v>272</v>
      </c>
      <c r="B419" s="257"/>
    </row>
    <row r="420" spans="1:18">
      <c r="D420" s="232"/>
      <c r="E420" s="232"/>
      <c r="F420" s="232"/>
      <c r="G420" s="232"/>
      <c r="H420" s="232"/>
      <c r="I420" s="232"/>
      <c r="J420" s="232"/>
      <c r="K420" s="232"/>
      <c r="L420" s="232"/>
      <c r="M420" s="232"/>
    </row>
    <row r="421" spans="1:18">
      <c r="A421" s="65" t="s">
        <v>60</v>
      </c>
      <c r="B421" s="389" t="s">
        <v>10</v>
      </c>
      <c r="C421" s="389" t="s">
        <v>11</v>
      </c>
      <c r="D421" s="388" t="s">
        <v>0</v>
      </c>
      <c r="E421" s="388" t="s">
        <v>1</v>
      </c>
      <c r="F421" s="388" t="s">
        <v>2</v>
      </c>
      <c r="G421" s="388" t="s">
        <v>3</v>
      </c>
      <c r="H421" s="388" t="s">
        <v>4</v>
      </c>
      <c r="I421" s="388" t="s">
        <v>5</v>
      </c>
      <c r="J421" s="388" t="s">
        <v>6</v>
      </c>
      <c r="K421" s="388" t="s">
        <v>7</v>
      </c>
      <c r="L421" s="388" t="s">
        <v>8</v>
      </c>
      <c r="M421" s="388" t="s">
        <v>9</v>
      </c>
    </row>
    <row r="422" spans="1:18">
      <c r="A422" s="232" t="s">
        <v>333</v>
      </c>
      <c r="B422" s="259" t="s">
        <v>40</v>
      </c>
      <c r="C422" t="s">
        <v>52</v>
      </c>
      <c r="D422" s="234">
        <f t="shared" ref="D422:M422" si="109">I386</f>
        <v>3545.8254163748843</v>
      </c>
      <c r="E422" s="234">
        <f t="shared" si="109"/>
        <v>1910.0804773562256</v>
      </c>
      <c r="F422" s="234">
        <f t="shared" si="109"/>
        <v>1464.7047463669803</v>
      </c>
      <c r="G422" s="234">
        <f t="shared" si="109"/>
        <v>1861.9208458031699</v>
      </c>
      <c r="H422" s="234">
        <f t="shared" si="109"/>
        <v>1977.8781913972966</v>
      </c>
      <c r="I422" s="234">
        <f t="shared" si="109"/>
        <v>1422.99311903133</v>
      </c>
      <c r="J422" s="234">
        <f t="shared" si="109"/>
        <v>2222.2561213385111</v>
      </c>
      <c r="K422" s="234">
        <f t="shared" si="109"/>
        <v>2868.179031000242</v>
      </c>
      <c r="L422" s="234">
        <f t="shared" si="109"/>
        <v>3249.034627519577</v>
      </c>
      <c r="M422" s="234">
        <f t="shared" si="109"/>
        <v>3503.0428777835168</v>
      </c>
    </row>
    <row r="423" spans="1:18">
      <c r="A423" s="232" t="s">
        <v>216</v>
      </c>
      <c r="B423" s="259" t="s">
        <v>40</v>
      </c>
      <c r="C423" t="s">
        <v>52</v>
      </c>
      <c r="D423" s="234">
        <f t="shared" ref="D423:M423" si="110">I393</f>
        <v>159.63999918529629</v>
      </c>
      <c r="E423" s="234">
        <f t="shared" si="110"/>
        <v>126.74827492258814</v>
      </c>
      <c r="F423" s="234">
        <f t="shared" si="110"/>
        <v>111.57483604410805</v>
      </c>
      <c r="G423" s="234">
        <f t="shared" si="110"/>
        <v>140.41665323223285</v>
      </c>
      <c r="H423" s="234">
        <f t="shared" si="110"/>
        <v>149.93137952352154</v>
      </c>
      <c r="I423" s="234">
        <f t="shared" si="110"/>
        <v>135.71298718458692</v>
      </c>
      <c r="J423" s="234">
        <f t="shared" si="110"/>
        <v>140.42237830374333</v>
      </c>
      <c r="K423" s="234">
        <f t="shared" si="110"/>
        <v>144.46255697688144</v>
      </c>
      <c r="L423" s="234">
        <f t="shared" si="110"/>
        <v>147.78880489179451</v>
      </c>
      <c r="M423" s="234">
        <f t="shared" si="110"/>
        <v>151.19031770051342</v>
      </c>
    </row>
    <row r="424" spans="1:18">
      <c r="A424" s="232" t="s">
        <v>231</v>
      </c>
      <c r="B424" s="259" t="s">
        <v>40</v>
      </c>
      <c r="C424" t="s">
        <v>52</v>
      </c>
      <c r="D424" s="234">
        <f t="shared" ref="D424:M424" si="111">I408</f>
        <v>0</v>
      </c>
      <c r="E424" s="234">
        <f t="shared" si="111"/>
        <v>0</v>
      </c>
      <c r="F424" s="234">
        <f t="shared" si="111"/>
        <v>0</v>
      </c>
      <c r="G424" s="234">
        <f t="shared" si="111"/>
        <v>0</v>
      </c>
      <c r="H424" s="234">
        <f t="shared" si="111"/>
        <v>5230.2853654734918</v>
      </c>
      <c r="I424" s="234">
        <f t="shared" si="111"/>
        <v>5365.7754594000626</v>
      </c>
      <c r="J424" s="234">
        <f t="shared" si="111"/>
        <v>5504.5930429375067</v>
      </c>
      <c r="K424" s="234">
        <f t="shared" si="111"/>
        <v>5646.8170196326882</v>
      </c>
      <c r="L424" s="234">
        <f t="shared" si="111"/>
        <v>5792.5281181785022</v>
      </c>
      <c r="M424" s="234">
        <f t="shared" si="111"/>
        <v>167.15126658111527</v>
      </c>
    </row>
    <row r="425" spans="1:18" s="286" customFormat="1">
      <c r="A425" s="232" t="s">
        <v>556</v>
      </c>
      <c r="B425" s="259" t="s">
        <v>40</v>
      </c>
      <c r="C425" s="285" t="s">
        <v>52</v>
      </c>
      <c r="D425" s="234">
        <f>I415</f>
        <v>0</v>
      </c>
      <c r="E425" s="234">
        <f t="shared" ref="E425:M425" si="112">J415</f>
        <v>0</v>
      </c>
      <c r="F425" s="234">
        <f t="shared" si="112"/>
        <v>0</v>
      </c>
      <c r="G425" s="234">
        <f t="shared" si="112"/>
        <v>958.03676183026994</v>
      </c>
      <c r="H425" s="234">
        <f t="shared" si="112"/>
        <v>972.66327727806038</v>
      </c>
      <c r="I425" s="234">
        <f t="shared" si="112"/>
        <v>0</v>
      </c>
      <c r="J425" s="234">
        <f t="shared" si="112"/>
        <v>0</v>
      </c>
      <c r="K425" s="234">
        <f t="shared" si="112"/>
        <v>0</v>
      </c>
      <c r="L425" s="234">
        <f t="shared" si="112"/>
        <v>0</v>
      </c>
      <c r="M425" s="234">
        <f t="shared" si="112"/>
        <v>0</v>
      </c>
    </row>
    <row r="426" spans="1:18">
      <c r="A426" s="65" t="s">
        <v>20</v>
      </c>
      <c r="B426" s="259" t="s">
        <v>40</v>
      </c>
      <c r="C426" t="s">
        <v>52</v>
      </c>
      <c r="D426" s="234">
        <f>SUM(D422:D425)</f>
        <v>3705.4654155601806</v>
      </c>
      <c r="E426" s="234">
        <f t="shared" ref="E426:M426" si="113">SUM(E422:E425)</f>
        <v>2036.8287522788137</v>
      </c>
      <c r="F426" s="234">
        <f t="shared" si="113"/>
        <v>1576.2795824110883</v>
      </c>
      <c r="G426" s="234">
        <f t="shared" si="113"/>
        <v>2960.3742608656726</v>
      </c>
      <c r="H426" s="234">
        <f t="shared" si="113"/>
        <v>8330.7582136723704</v>
      </c>
      <c r="I426" s="234">
        <f t="shared" si="113"/>
        <v>6924.481565615979</v>
      </c>
      <c r="J426" s="234">
        <f t="shared" si="113"/>
        <v>7867.2715425797614</v>
      </c>
      <c r="K426" s="234">
        <f t="shared" si="113"/>
        <v>8659.4586076098112</v>
      </c>
      <c r="L426" s="234">
        <f t="shared" si="113"/>
        <v>9189.351550589874</v>
      </c>
      <c r="M426" s="234">
        <f t="shared" si="113"/>
        <v>3821.3844620651453</v>
      </c>
    </row>
  </sheetData>
  <phoneticPr fontId="13"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Q41"/>
  <sheetViews>
    <sheetView showGridLines="0" zoomScale="80" zoomScaleNormal="80" workbookViewId="0"/>
  </sheetViews>
  <sheetFormatPr defaultColWidth="8.6640625" defaultRowHeight="14.25"/>
  <cols>
    <col min="1" max="1" width="31" customWidth="1"/>
    <col min="2" max="2" width="15" customWidth="1"/>
    <col min="3" max="3" width="14" customWidth="1"/>
    <col min="8" max="8" width="9.1328125" bestFit="1" customWidth="1"/>
    <col min="10" max="10" width="26.6640625" customWidth="1"/>
    <col min="12" max="12" width="13.6640625" customWidth="1"/>
  </cols>
  <sheetData>
    <row r="1" spans="1:17" s="285" customFormat="1" ht="18">
      <c r="A1" s="256" t="s">
        <v>668</v>
      </c>
      <c r="B1" s="257"/>
    </row>
    <row r="2" spans="1:17" s="285" customFormat="1"/>
    <row r="3" spans="1:17" ht="18">
      <c r="A3" s="256" t="s">
        <v>489</v>
      </c>
      <c r="B3" s="257"/>
      <c r="J3" s="256" t="s">
        <v>489</v>
      </c>
    </row>
    <row r="4" spans="1:17">
      <c r="A4" s="63"/>
      <c r="B4" s="63"/>
      <c r="C4" s="232"/>
      <c r="D4" s="232"/>
      <c r="E4" s="232"/>
      <c r="F4" s="232"/>
      <c r="G4" s="232"/>
      <c r="H4" s="232"/>
      <c r="I4" s="232"/>
      <c r="J4" s="232"/>
      <c r="K4" s="232"/>
      <c r="L4" s="232"/>
      <c r="M4" s="232"/>
      <c r="N4" s="232"/>
      <c r="O4" s="232"/>
      <c r="P4" s="232"/>
      <c r="Q4" s="232"/>
    </row>
    <row r="5" spans="1:17">
      <c r="A5" s="65" t="s">
        <v>46</v>
      </c>
      <c r="B5" s="389" t="s">
        <v>10</v>
      </c>
      <c r="C5" s="389" t="s">
        <v>11</v>
      </c>
      <c r="D5" s="388" t="s">
        <v>5</v>
      </c>
      <c r="E5" s="388" t="s">
        <v>6</v>
      </c>
      <c r="F5" s="388" t="s">
        <v>7</v>
      </c>
      <c r="G5" s="388" t="s">
        <v>8</v>
      </c>
      <c r="H5" s="388" t="s">
        <v>9</v>
      </c>
      <c r="I5" s="233"/>
      <c r="J5" s="65" t="s">
        <v>46</v>
      </c>
      <c r="K5" s="389" t="s">
        <v>10</v>
      </c>
      <c r="L5" s="389" t="s">
        <v>11</v>
      </c>
      <c r="M5" s="388" t="s">
        <v>5</v>
      </c>
      <c r="N5" s="388" t="s">
        <v>6</v>
      </c>
      <c r="O5" s="388" t="s">
        <v>7</v>
      </c>
      <c r="P5" s="388" t="s">
        <v>8</v>
      </c>
      <c r="Q5" s="388" t="s">
        <v>9</v>
      </c>
    </row>
    <row r="6" spans="1:17">
      <c r="A6" s="232" t="s">
        <v>333</v>
      </c>
      <c r="B6" s="63" t="s">
        <v>40</v>
      </c>
      <c r="C6" t="s">
        <v>53</v>
      </c>
      <c r="D6" s="234">
        <f>RAB!D258</f>
        <v>3931.8297829602338</v>
      </c>
      <c r="E6" s="234">
        <f>RAB!E258</f>
        <v>7084.740856813738</v>
      </c>
      <c r="F6" s="234">
        <f>RAB!F258</f>
        <v>8474.2629199762705</v>
      </c>
      <c r="G6" s="234">
        <f>RAB!G258</f>
        <v>8183.2214732093653</v>
      </c>
      <c r="H6" s="234">
        <f>RAB!H258</f>
        <v>7441.2406052720817</v>
      </c>
      <c r="I6" s="234"/>
      <c r="J6" s="232" t="s">
        <v>333</v>
      </c>
      <c r="K6" s="63" t="s">
        <v>40</v>
      </c>
      <c r="L6" t="s">
        <v>52</v>
      </c>
      <c r="M6" s="234">
        <f>RAB!N388</f>
        <v>4047.73837098579</v>
      </c>
      <c r="N6" s="234">
        <f>RAB!O388</f>
        <v>7439.467773929282</v>
      </c>
      <c r="O6" s="234">
        <f>RAB!P388</f>
        <v>9076.5332591017141</v>
      </c>
      <c r="P6" s="234">
        <f>RAB!Q388</f>
        <v>8940.1034899393817</v>
      </c>
      <c r="Q6" s="234">
        <f>RAB!R388</f>
        <v>8292.0852807070223</v>
      </c>
    </row>
    <row r="7" spans="1:17">
      <c r="A7" s="232" t="s">
        <v>216</v>
      </c>
      <c r="B7" s="63" t="s">
        <v>40</v>
      </c>
      <c r="C7" t="s">
        <v>53</v>
      </c>
      <c r="D7" s="234">
        <f>RAB!D266</f>
        <v>2160.258781779713</v>
      </c>
      <c r="E7" s="234">
        <f>RAB!E266</f>
        <v>2074.981989620489</v>
      </c>
      <c r="F7" s="234">
        <f>RAB!F266</f>
        <v>1969.4301974612649</v>
      </c>
      <c r="G7" s="234">
        <f>RAB!G266</f>
        <v>1844.353405302041</v>
      </c>
      <c r="H7" s="234">
        <f>RAB!H266</f>
        <v>1718.876613142817</v>
      </c>
      <c r="I7" s="234"/>
      <c r="J7" s="232" t="s">
        <v>216</v>
      </c>
      <c r="K7" s="63" t="s">
        <v>40</v>
      </c>
      <c r="L7" t="s">
        <v>52</v>
      </c>
      <c r="M7" s="234">
        <f>RAB!N395</f>
        <v>2223.9422469823639</v>
      </c>
      <c r="N7" s="234">
        <f>RAB!O395</f>
        <v>2178.8745636926174</v>
      </c>
      <c r="O7" s="234">
        <f>RAB!P395</f>
        <v>2109.3986412196996</v>
      </c>
      <c r="P7" s="234">
        <f>RAB!Q395</f>
        <v>2014.9412269243735</v>
      </c>
      <c r="Q7" s="234">
        <f>RAB!R395</f>
        <v>1915.4160198898635</v>
      </c>
    </row>
    <row r="8" spans="1:17">
      <c r="A8" s="232" t="s">
        <v>87</v>
      </c>
      <c r="B8" s="63" t="s">
        <v>40</v>
      </c>
      <c r="C8" t="s">
        <v>53</v>
      </c>
      <c r="D8" s="234">
        <f>RAB!D297</f>
        <v>14209.931661663239</v>
      </c>
      <c r="E8" s="234">
        <f>RAB!E297</f>
        <v>17786.55858474016</v>
      </c>
      <c r="F8" s="234">
        <f>RAB!F297</f>
        <v>20079.481661663238</v>
      </c>
      <c r="G8" s="234">
        <f>RAB!G297</f>
        <v>17959.654738586316</v>
      </c>
      <c r="H8" s="234">
        <f>RAB!H297</f>
        <v>11614.204738586317</v>
      </c>
      <c r="I8" s="234"/>
      <c r="J8" s="232" t="s">
        <v>87</v>
      </c>
      <c r="K8" s="63" t="s">
        <v>40</v>
      </c>
      <c r="L8" t="s">
        <v>52</v>
      </c>
      <c r="M8" s="234">
        <f>RAB!N403</f>
        <v>14628.834108046098</v>
      </c>
      <c r="N8" s="234">
        <f>RAB!O403</f>
        <v>18677.116365239905</v>
      </c>
      <c r="O8" s="234">
        <f>RAB!P403</f>
        <v>21506.541022935322</v>
      </c>
      <c r="P8" s="234">
        <f>RAB!Q403</f>
        <v>19620.778019047262</v>
      </c>
      <c r="Q8" s="234">
        <f>RAB!R403</f>
        <v>12942.193549247291</v>
      </c>
    </row>
    <row r="9" spans="1:17">
      <c r="A9" s="232" t="s">
        <v>231</v>
      </c>
      <c r="B9" s="63" t="s">
        <v>40</v>
      </c>
      <c r="C9" t="s">
        <v>53</v>
      </c>
      <c r="D9" s="234">
        <f>RAB!D335</f>
        <v>18197.435254487267</v>
      </c>
      <c r="E9" s="234">
        <f>RAB!E335</f>
        <v>13120.310896062334</v>
      </c>
      <c r="F9" s="234">
        <f>RAB!F335</f>
        <v>8013.1865376373989</v>
      </c>
      <c r="G9" s="234">
        <f>RAB!G335</f>
        <v>2876.0621792124653</v>
      </c>
      <c r="H9" s="234">
        <f>RAB!H335</f>
        <v>299.99999999999818</v>
      </c>
      <c r="I9" s="234"/>
      <c r="J9" s="232" t="s">
        <v>231</v>
      </c>
      <c r="K9" s="63" t="s">
        <v>40</v>
      </c>
      <c r="L9" t="s">
        <v>52</v>
      </c>
      <c r="M9" s="234">
        <f>RAB!N410</f>
        <v>18733.887527974566</v>
      </c>
      <c r="N9" s="234">
        <f>RAB!O410</f>
        <v>13777.233644518486</v>
      </c>
      <c r="O9" s="234">
        <f>RAB!P410</f>
        <v>8582.6879348765397</v>
      </c>
      <c r="P9" s="234">
        <f>RAB!Q410</f>
        <v>3142.0747452379478</v>
      </c>
      <c r="Q9" s="234">
        <f>RAB!R410</f>
        <v>334.30253316222849</v>
      </c>
    </row>
    <row r="10" spans="1:17">
      <c r="A10" s="65" t="s">
        <v>20</v>
      </c>
      <c r="B10" s="63" t="s">
        <v>40</v>
      </c>
      <c r="C10" t="s">
        <v>53</v>
      </c>
      <c r="D10" s="234">
        <f>SUM(D6:D9)</f>
        <v>38499.45548089045</v>
      </c>
      <c r="E10" s="234">
        <f>SUM(E6:E9)</f>
        <v>40066.592327236722</v>
      </c>
      <c r="F10" s="234">
        <f>SUM(F6:F9)</f>
        <v>38536.36131673817</v>
      </c>
      <c r="G10" s="234">
        <f>SUM(G6:G9)</f>
        <v>30863.291796310186</v>
      </c>
      <c r="H10" s="234">
        <f>SUM(H6:H9)</f>
        <v>21074.321957001215</v>
      </c>
      <c r="I10" s="234"/>
      <c r="J10" s="65" t="s">
        <v>20</v>
      </c>
      <c r="K10" s="63" t="s">
        <v>40</v>
      </c>
      <c r="L10" t="s">
        <v>52</v>
      </c>
      <c r="M10" s="234">
        <f>SUM(M6:M9)</f>
        <v>39634.402253988817</v>
      </c>
      <c r="N10" s="234">
        <f>SUM(N6:N9)</f>
        <v>42072.692347380289</v>
      </c>
      <c r="O10" s="234">
        <f>SUM(O6:O9)</f>
        <v>41275.160858133269</v>
      </c>
      <c r="P10" s="234">
        <f>SUM(P6:P9)</f>
        <v>33717.897481148968</v>
      </c>
      <c r="Q10" s="234">
        <f>SUM(Q6:Q9)</f>
        <v>23483.997383006408</v>
      </c>
    </row>
    <row r="11" spans="1:17">
      <c r="A11" s="63"/>
      <c r="B11" s="63"/>
      <c r="C11" s="63"/>
      <c r="D11" s="63"/>
      <c r="E11" s="63"/>
      <c r="F11" s="63"/>
      <c r="G11" s="65" t="s">
        <v>236</v>
      </c>
      <c r="H11" s="234">
        <f>AVERAGE(D10:H10)</f>
        <v>33808.00457563535</v>
      </c>
      <c r="I11" s="63"/>
      <c r="J11" s="63"/>
      <c r="K11" s="63"/>
      <c r="L11" s="63"/>
      <c r="M11" s="63"/>
      <c r="N11" s="63"/>
      <c r="O11" s="63"/>
      <c r="P11" s="65" t="s">
        <v>236</v>
      </c>
      <c r="Q11" s="234">
        <f>AVERAGE(M10:Q10)</f>
        <v>36036.830064731548</v>
      </c>
    </row>
    <row r="12" spans="1:17" ht="18">
      <c r="A12" s="256" t="s">
        <v>490</v>
      </c>
      <c r="B12" s="257"/>
    </row>
    <row r="14" spans="1:17">
      <c r="A14" s="1" t="s">
        <v>88</v>
      </c>
      <c r="B14" s="389" t="s">
        <v>10</v>
      </c>
      <c r="C14" s="410" t="s">
        <v>11</v>
      </c>
      <c r="D14" s="388" t="s">
        <v>5</v>
      </c>
      <c r="E14" s="388" t="s">
        <v>6</v>
      </c>
      <c r="F14" s="388" t="s">
        <v>7</v>
      </c>
      <c r="G14" s="388" t="s">
        <v>8</v>
      </c>
      <c r="H14" s="388" t="s">
        <v>9</v>
      </c>
      <c r="J14" s="1"/>
      <c r="K14" s="1"/>
      <c r="L14" s="235"/>
      <c r="M14" s="236"/>
      <c r="N14" s="236"/>
      <c r="O14" s="236"/>
      <c r="P14" s="236"/>
      <c r="Q14" s="236"/>
    </row>
    <row r="15" spans="1:17">
      <c r="A15" t="s">
        <v>330</v>
      </c>
      <c r="B15" s="63" t="s">
        <v>40</v>
      </c>
      <c r="C15" t="s">
        <v>53</v>
      </c>
      <c r="D15" s="71">
        <f>Return!D$7*(1-WACC!$B$4)*WACC!$B$17</f>
        <v>80.516311878925336</v>
      </c>
      <c r="E15" s="71">
        <f>Return!E$7*(1-WACC!$B$4)*WACC!$B$17</f>
        <v>77.337908971163642</v>
      </c>
      <c r="F15" s="71">
        <f>Return!F$7*(1-WACC!$B$4)*WACC!$B$17</f>
        <v>73.403824273278502</v>
      </c>
      <c r="G15" s="71">
        <f>Return!G$7*(1-WACC!$B$4)*WACC!$B$17</f>
        <v>68.742011488973588</v>
      </c>
      <c r="H15" s="71">
        <f>Return!H$7*(1-WACC!$B$4)*WACC!$B$17</f>
        <v>64.065290062693364</v>
      </c>
      <c r="K15" s="63"/>
      <c r="M15" s="71"/>
      <c r="N15" s="71"/>
      <c r="O15" s="71"/>
      <c r="P15" s="71"/>
      <c r="Q15" s="71"/>
    </row>
    <row r="16" spans="1:17">
      <c r="A16" t="s">
        <v>329</v>
      </c>
      <c r="B16" s="63" t="s">
        <v>40</v>
      </c>
      <c r="C16" t="s">
        <v>53</v>
      </c>
      <c r="D16" s="71">
        <f>Return!D$6*(1-WACC!$B$4)*WACC!$B$17</f>
        <v>146.54560635502401</v>
      </c>
      <c r="E16" s="71">
        <f>Return!E$6*(1-WACC!$B$4)*WACC!$B$17</f>
        <v>264.05966230519346</v>
      </c>
      <c r="F16" s="71">
        <f>Return!F$6*(1-WACC!$B$4)*WACC!$B$17</f>
        <v>315.84937969639947</v>
      </c>
      <c r="G16" s="71">
        <f>Return!G$6*(1-WACC!$B$4)*WACC!$B$17</f>
        <v>305.00179787184032</v>
      </c>
      <c r="H16" s="71">
        <f>Return!H$6*(1-WACC!$B$4)*WACC!$B$17</f>
        <v>277.34698009032604</v>
      </c>
      <c r="K16" s="63"/>
      <c r="M16" s="71"/>
      <c r="N16" s="71"/>
      <c r="O16" s="71"/>
      <c r="P16" s="71"/>
      <c r="Q16" s="71"/>
    </row>
    <row r="17" spans="1:17">
      <c r="A17" t="s">
        <v>335</v>
      </c>
      <c r="B17" s="63" t="s">
        <v>40</v>
      </c>
      <c r="C17" t="s">
        <v>53</v>
      </c>
      <c r="D17" s="71">
        <f>Return!D$9*(1-WACC!$B$4)*WACC!$B$17</f>
        <v>678.24761769502527</v>
      </c>
      <c r="E17" s="71">
        <f>Return!E$9*(1-WACC!$B$4)*WACC!$B$17</f>
        <v>489.0150443853355</v>
      </c>
      <c r="F17" s="71">
        <f>Return!F$9*(1-WACC!$B$4)*WACC!$B$17</f>
        <v>298.66432292749755</v>
      </c>
      <c r="G17" s="71">
        <f>Return!G$9*(1-WACC!$B$4)*WACC!$B$17</f>
        <v>107.19545332151149</v>
      </c>
      <c r="H17" s="71">
        <f>Return!H$9*(1-WACC!$B$4)*WACC!$B$17</f>
        <v>11.181481481481411</v>
      </c>
      <c r="K17" s="63"/>
      <c r="M17" s="71"/>
      <c r="N17" s="71"/>
      <c r="O17" s="71"/>
      <c r="P17" s="71"/>
      <c r="Q17" s="71"/>
    </row>
    <row r="18" spans="1:17">
      <c r="A18" t="s">
        <v>338</v>
      </c>
      <c r="B18" s="63" t="s">
        <v>40</v>
      </c>
      <c r="C18" t="s">
        <v>53</v>
      </c>
      <c r="D18" s="71">
        <f>Return!D$8*(1-WACC!$B$4)*WACC!$B$17</f>
        <v>529.62695909334946</v>
      </c>
      <c r="E18" s="71">
        <f>Return!E$8*(1-WACC!$B$4)*WACC!$B$17</f>
        <v>662.93358478185849</v>
      </c>
      <c r="F18" s="71">
        <f>Return!F$8*(1-WACC!$B$4)*WACC!$B$17</f>
        <v>748.39450785878148</v>
      </c>
      <c r="G18" s="71">
        <f>Return!G$8*(1-WACC!$B$4)*WACC!$B$17</f>
        <v>669.3851562443466</v>
      </c>
      <c r="H18" s="71">
        <f>Return!H$8*(1-WACC!$B$4)*WACC!$B$17</f>
        <v>432.88005068879119</v>
      </c>
      <c r="K18" s="63"/>
      <c r="M18" s="71"/>
      <c r="N18" s="71"/>
      <c r="O18" s="71"/>
      <c r="P18" s="71"/>
      <c r="Q18" s="71"/>
    </row>
    <row r="19" spans="1:17">
      <c r="A19" s="1" t="s">
        <v>20</v>
      </c>
      <c r="B19" s="63" t="s">
        <v>40</v>
      </c>
      <c r="C19" t="s">
        <v>53</v>
      </c>
      <c r="D19" s="71">
        <f>SUM(D15:D18)</f>
        <v>1434.9364950223239</v>
      </c>
      <c r="E19" s="71">
        <f>SUM(E15:E18)</f>
        <v>1493.346200443551</v>
      </c>
      <c r="F19" s="71">
        <f>SUM(F15:F18)</f>
        <v>1436.312034755957</v>
      </c>
      <c r="G19" s="71">
        <f>SUM(G15:G18)</f>
        <v>1150.324418926672</v>
      </c>
      <c r="H19" s="71">
        <f>SUM(H15:H18)</f>
        <v>785.47380232329192</v>
      </c>
      <c r="J19" s="1"/>
      <c r="K19" s="63"/>
      <c r="M19" s="71"/>
      <c r="N19" s="71"/>
      <c r="O19" s="71"/>
      <c r="P19" s="71"/>
      <c r="Q19" s="71"/>
    </row>
    <row r="21" spans="1:17">
      <c r="A21" s="1" t="s">
        <v>89</v>
      </c>
      <c r="B21" s="389" t="s">
        <v>10</v>
      </c>
      <c r="C21" s="389" t="s">
        <v>11</v>
      </c>
      <c r="D21" s="388" t="s">
        <v>5</v>
      </c>
      <c r="E21" s="388" t="s">
        <v>6</v>
      </c>
      <c r="F21" s="388" t="s">
        <v>7</v>
      </c>
      <c r="G21" s="388" t="s">
        <v>8</v>
      </c>
      <c r="H21" s="388" t="s">
        <v>9</v>
      </c>
      <c r="J21" s="1"/>
      <c r="K21" s="1"/>
      <c r="L21" s="1"/>
      <c r="M21" s="236"/>
      <c r="N21" s="236"/>
      <c r="O21" s="236"/>
      <c r="P21" s="236"/>
      <c r="Q21" s="236"/>
    </row>
    <row r="22" spans="1:17">
      <c r="A22" t="s">
        <v>330</v>
      </c>
      <c r="B22" s="63" t="s">
        <v>40</v>
      </c>
      <c r="C22" t="s">
        <v>53</v>
      </c>
      <c r="D22" s="71">
        <f>Return!D$7*WACC!$B$4*WACC!$B$9</f>
        <v>6.4807763453391392</v>
      </c>
      <c r="E22" s="71">
        <f>Return!E$7*WACC!$B$4*WACC!$B$9</f>
        <v>6.2249459688614674</v>
      </c>
      <c r="F22" s="71">
        <f>Return!F$7*WACC!$B$4*WACC!$B$9</f>
        <v>5.9082905923837954</v>
      </c>
      <c r="G22" s="71">
        <f>Return!G$7*WACC!$B$4*WACC!$B$9</f>
        <v>5.5330602159061231</v>
      </c>
      <c r="H22" s="71">
        <f>Return!H$7*WACC!$B$4*WACC!$B$9</f>
        <v>5.1566298394284509</v>
      </c>
      <c r="K22" s="63"/>
      <c r="M22" s="71"/>
      <c r="N22" s="71"/>
      <c r="O22" s="71"/>
      <c r="P22" s="71"/>
      <c r="Q22" s="71"/>
    </row>
    <row r="23" spans="1:17">
      <c r="A23" t="s">
        <v>329</v>
      </c>
      <c r="B23" s="63" t="s">
        <v>40</v>
      </c>
      <c r="C23" t="s">
        <v>53</v>
      </c>
      <c r="D23" s="71">
        <f>Return!D$6*WACC!$B$4*WACC!$B$9</f>
        <v>11.795489348880702</v>
      </c>
      <c r="E23" s="71">
        <f>Return!E$6*WACC!$B$4*WACC!$B$9</f>
        <v>21.254222570441215</v>
      </c>
      <c r="F23" s="71">
        <f>Return!F$6*WACC!$B$4*WACC!$B$9</f>
        <v>25.422788759928814</v>
      </c>
      <c r="G23" s="71">
        <f>Return!G$6*WACC!$B$4*WACC!$B$9</f>
        <v>24.549664419628094</v>
      </c>
      <c r="H23" s="71">
        <f>Return!H$6*WACC!$B$4*WACC!$B$9</f>
        <v>22.323721815816246</v>
      </c>
      <c r="K23" s="63"/>
      <c r="M23" s="71"/>
      <c r="N23" s="71"/>
      <c r="O23" s="71"/>
      <c r="P23" s="71"/>
      <c r="Q23" s="71"/>
    </row>
    <row r="24" spans="1:17">
      <c r="A24" t="s">
        <v>335</v>
      </c>
      <c r="B24" s="63" t="s">
        <v>40</v>
      </c>
      <c r="C24" t="s">
        <v>53</v>
      </c>
      <c r="D24" s="71">
        <f>Return!D$9*WACC!$B$4*WACC!$B$9</f>
        <v>54.592305763461802</v>
      </c>
      <c r="E24" s="71">
        <f>Return!E$9*WACC!$B$4*WACC!$B$9</f>
        <v>39.360932688187006</v>
      </c>
      <c r="F24" s="71">
        <f>Return!F$9*WACC!$B$4*WACC!$B$9</f>
        <v>24.039559612912196</v>
      </c>
      <c r="G24" s="71">
        <f>Return!G$9*WACC!$B$4*WACC!$B$9</f>
        <v>8.6281865376373954</v>
      </c>
      <c r="H24" s="71">
        <f>Return!H$9*WACC!$B$4*WACC!$B$9</f>
        <v>0.89999999999999458</v>
      </c>
      <c r="K24" s="63"/>
      <c r="M24" s="71"/>
      <c r="N24" s="71"/>
      <c r="O24" s="71"/>
      <c r="P24" s="71"/>
      <c r="Q24" s="71"/>
    </row>
    <row r="25" spans="1:17">
      <c r="A25" t="s">
        <v>338</v>
      </c>
      <c r="B25" s="63" t="s">
        <v>40</v>
      </c>
      <c r="C25" t="s">
        <v>53</v>
      </c>
      <c r="D25" s="71">
        <f>Return!D$8*WACC!$B$4*WACC!$B$9</f>
        <v>42.629794984989722</v>
      </c>
      <c r="E25" s="71">
        <f>Return!E$8*WACC!$B$4*WACC!$B$9</f>
        <v>53.359675754220476</v>
      </c>
      <c r="F25" s="71">
        <f>Return!F$8*WACC!$B$4*WACC!$B$9</f>
        <v>60.238444984989719</v>
      </c>
      <c r="G25" s="71">
        <f>Return!G$8*WACC!$B$4*WACC!$B$9</f>
        <v>53.878964215758948</v>
      </c>
      <c r="H25" s="71">
        <f>Return!H$8*WACC!$B$4*WACC!$B$9</f>
        <v>34.84261421575895</v>
      </c>
      <c r="K25" s="63"/>
      <c r="M25" s="71"/>
      <c r="N25" s="71"/>
      <c r="O25" s="71"/>
      <c r="P25" s="71"/>
      <c r="Q25" s="71"/>
    </row>
    <row r="26" spans="1:17">
      <c r="A26" s="1" t="s">
        <v>20</v>
      </c>
      <c r="B26" s="63" t="s">
        <v>40</v>
      </c>
      <c r="C26" t="s">
        <v>53</v>
      </c>
      <c r="D26" s="71">
        <f>SUM(D22:D25)</f>
        <v>115.49836644267137</v>
      </c>
      <c r="E26" s="71">
        <f>SUM(E22:E25)</f>
        <v>120.19977698171017</v>
      </c>
      <c r="F26" s="71">
        <f>SUM(F22:F25)</f>
        <v>115.60908395021453</v>
      </c>
      <c r="G26" s="71">
        <f>SUM(G22:G25)</f>
        <v>92.589875388930551</v>
      </c>
      <c r="H26" s="71">
        <f>SUM(H22:H25)</f>
        <v>63.222965871003638</v>
      </c>
      <c r="J26" s="1"/>
      <c r="K26" s="63"/>
      <c r="M26" s="71"/>
      <c r="N26" s="71"/>
      <c r="O26" s="71"/>
      <c r="P26" s="71"/>
      <c r="Q26" s="71"/>
    </row>
    <row r="28" spans="1:17">
      <c r="A28" s="1" t="s">
        <v>295</v>
      </c>
      <c r="B28" s="389" t="s">
        <v>10</v>
      </c>
      <c r="C28" s="389" t="s">
        <v>11</v>
      </c>
      <c r="D28" s="388" t="s">
        <v>5</v>
      </c>
      <c r="E28" s="388" t="s">
        <v>6</v>
      </c>
      <c r="F28" s="388" t="s">
        <v>7</v>
      </c>
      <c r="G28" s="388" t="s">
        <v>8</v>
      </c>
      <c r="H28" s="388" t="s">
        <v>9</v>
      </c>
      <c r="J28" s="1"/>
      <c r="K28" s="1"/>
      <c r="L28" s="1"/>
      <c r="M28" s="236"/>
      <c r="N28" s="236"/>
      <c r="O28" s="236"/>
      <c r="P28" s="236"/>
      <c r="Q28" s="236"/>
    </row>
    <row r="29" spans="1:17">
      <c r="A29" t="s">
        <v>330</v>
      </c>
      <c r="B29" s="63" t="s">
        <v>40</v>
      </c>
      <c r="C29" t="s">
        <v>53</v>
      </c>
      <c r="D29" s="71">
        <f>D15+D22</f>
        <v>86.997088224264473</v>
      </c>
      <c r="E29" s="71">
        <f t="shared" ref="E29:G29" si="0">E15+E22</f>
        <v>83.562854940025105</v>
      </c>
      <c r="F29" s="71">
        <f t="shared" si="0"/>
        <v>79.312114865662295</v>
      </c>
      <c r="G29" s="71">
        <f t="shared" si="0"/>
        <v>74.275071704879707</v>
      </c>
      <c r="H29" s="71">
        <f t="shared" ref="H29" si="1">H15+H22</f>
        <v>69.221919902121812</v>
      </c>
      <c r="K29" s="63"/>
      <c r="M29" s="71"/>
      <c r="N29" s="71"/>
      <c r="O29" s="71"/>
      <c r="P29" s="71"/>
      <c r="Q29" s="71"/>
    </row>
    <row r="30" spans="1:17">
      <c r="A30" t="s">
        <v>329</v>
      </c>
      <c r="B30" s="63" t="s">
        <v>40</v>
      </c>
      <c r="C30" t="s">
        <v>53</v>
      </c>
      <c r="D30" s="71">
        <f t="shared" ref="D30:G30" si="2">D16+D23</f>
        <v>158.3410957039047</v>
      </c>
      <c r="E30" s="71">
        <f t="shared" si="2"/>
        <v>285.3138848756347</v>
      </c>
      <c r="F30" s="71">
        <f t="shared" si="2"/>
        <v>341.2721684563283</v>
      </c>
      <c r="G30" s="71">
        <f t="shared" si="2"/>
        <v>329.5514622914684</v>
      </c>
      <c r="H30" s="71">
        <f t="shared" ref="H30" si="3">H16+H23</f>
        <v>299.67070190614231</v>
      </c>
      <c r="K30" s="63"/>
      <c r="M30" s="71"/>
      <c r="N30" s="71"/>
      <c r="O30" s="71"/>
      <c r="P30" s="71"/>
      <c r="Q30" s="71"/>
    </row>
    <row r="31" spans="1:17">
      <c r="A31" t="s">
        <v>335</v>
      </c>
      <c r="B31" s="63" t="s">
        <v>40</v>
      </c>
      <c r="C31" t="s">
        <v>53</v>
      </c>
      <c r="D31" s="71">
        <f t="shared" ref="D31:G31" si="4">D17+D24</f>
        <v>732.83992345848708</v>
      </c>
      <c r="E31" s="71">
        <f t="shared" si="4"/>
        <v>528.37597707352256</v>
      </c>
      <c r="F31" s="71">
        <f t="shared" si="4"/>
        <v>322.70388254040972</v>
      </c>
      <c r="G31" s="71">
        <f t="shared" si="4"/>
        <v>115.82363985914888</v>
      </c>
      <c r="H31" s="71">
        <f t="shared" ref="H31" si="5">H17+H24</f>
        <v>12.081481481481406</v>
      </c>
      <c r="K31" s="63"/>
      <c r="M31" s="71"/>
      <c r="N31" s="71"/>
      <c r="O31" s="71"/>
      <c r="P31" s="71"/>
      <c r="Q31" s="71"/>
    </row>
    <row r="32" spans="1:17">
      <c r="A32" t="s">
        <v>338</v>
      </c>
      <c r="B32" s="63" t="s">
        <v>40</v>
      </c>
      <c r="C32" t="s">
        <v>53</v>
      </c>
      <c r="D32" s="71">
        <f t="shared" ref="D32:G32" si="6">D18+D25</f>
        <v>572.25675407833921</v>
      </c>
      <c r="E32" s="71">
        <f t="shared" si="6"/>
        <v>716.29326053607895</v>
      </c>
      <c r="F32" s="71">
        <f t="shared" si="6"/>
        <v>808.63295284377125</v>
      </c>
      <c r="G32" s="71">
        <f t="shared" si="6"/>
        <v>723.26412046010557</v>
      </c>
      <c r="H32" s="71">
        <f t="shared" ref="H32" si="7">H18+H25</f>
        <v>467.72266490455013</v>
      </c>
      <c r="K32" s="63"/>
      <c r="M32" s="71"/>
      <c r="N32" s="71"/>
      <c r="O32" s="71"/>
      <c r="P32" s="71"/>
      <c r="Q32" s="71"/>
    </row>
    <row r="33" spans="1:17">
      <c r="A33" s="1" t="s">
        <v>20</v>
      </c>
      <c r="B33" s="63" t="s">
        <v>40</v>
      </c>
      <c r="C33" t="s">
        <v>53</v>
      </c>
      <c r="D33" s="71">
        <f>SUM(D29:D32)</f>
        <v>1550.4348614649955</v>
      </c>
      <c r="E33" s="71">
        <f>SUM(E29:E32)</f>
        <v>1613.5459774252613</v>
      </c>
      <c r="F33" s="71">
        <f>SUM(F29:F32)</f>
        <v>1551.9211187061715</v>
      </c>
      <c r="G33" s="71">
        <f>SUM(G29:G32)</f>
        <v>1242.9142943156025</v>
      </c>
      <c r="H33" s="71">
        <f>SUM(H29:H32)</f>
        <v>848.69676819429571</v>
      </c>
      <c r="J33" s="1"/>
      <c r="K33" s="63"/>
      <c r="M33" s="71"/>
      <c r="N33" s="71"/>
      <c r="O33" s="71"/>
      <c r="P33" s="71"/>
      <c r="Q33" s="71"/>
    </row>
    <row r="34" spans="1:17">
      <c r="G34" s="65" t="s">
        <v>236</v>
      </c>
      <c r="H34" s="234">
        <f>AVERAGE(D33:H33)</f>
        <v>1361.5026040212654</v>
      </c>
    </row>
    <row r="35" spans="1:17">
      <c r="H35" s="71"/>
      <c r="I35" s="74"/>
      <c r="J35" s="74"/>
      <c r="Q35" s="71">
        <f>SUM(M33:Q33)</f>
        <v>0</v>
      </c>
    </row>
    <row r="36" spans="1:17">
      <c r="D36" s="5"/>
      <c r="E36" s="5"/>
      <c r="F36" s="5"/>
      <c r="G36" s="5"/>
      <c r="H36" s="5"/>
      <c r="I36" s="5"/>
    </row>
    <row r="37" spans="1:17">
      <c r="D37" s="5"/>
      <c r="E37" s="5"/>
      <c r="F37" s="5"/>
      <c r="G37" s="5"/>
      <c r="H37" s="5"/>
      <c r="I37" s="5"/>
    </row>
    <row r="38" spans="1:17">
      <c r="I38" s="5"/>
      <c r="J38" s="5"/>
    </row>
    <row r="39" spans="1:17">
      <c r="D39" s="5"/>
      <c r="E39" s="5"/>
      <c r="F39" s="5"/>
      <c r="G39" s="5"/>
      <c r="H39" s="5"/>
      <c r="I39" s="5"/>
    </row>
    <row r="40" spans="1:17">
      <c r="D40" s="5"/>
      <c r="E40" s="5"/>
      <c r="F40" s="5"/>
      <c r="G40" s="5"/>
      <c r="H40" s="5"/>
      <c r="I40" s="5"/>
    </row>
    <row r="41" spans="1:17">
      <c r="D41" s="5"/>
      <c r="E41" s="5"/>
      <c r="F41" s="5"/>
      <c r="G41" s="5"/>
      <c r="H41" s="5"/>
      <c r="I41" s="5"/>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1F328-D26D-4821-A338-5F7302B9A0E7}">
  <sheetPr>
    <tabColor theme="5" tint="0.59999389629810485"/>
  </sheetPr>
  <dimension ref="A1:I21"/>
  <sheetViews>
    <sheetView showGridLines="0" zoomScale="80" zoomScaleNormal="80" workbookViewId="0"/>
  </sheetViews>
  <sheetFormatPr defaultColWidth="8.6640625" defaultRowHeight="14.25"/>
  <cols>
    <col min="1" max="1" width="79.46484375" style="285" customWidth="1"/>
    <col min="2" max="2" width="8.6640625" style="285"/>
    <col min="3" max="3" width="14.33203125" style="285" customWidth="1"/>
    <col min="4" max="9" width="11.1328125" style="285" customWidth="1"/>
    <col min="10" max="16384" width="8.6640625" style="285"/>
  </cols>
  <sheetData>
    <row r="1" spans="1:9" ht="18">
      <c r="A1" s="256" t="s">
        <v>579</v>
      </c>
      <c r="B1" s="257"/>
    </row>
    <row r="3" spans="1:9">
      <c r="A3" s="1" t="s">
        <v>569</v>
      </c>
      <c r="B3" s="1" t="s">
        <v>10</v>
      </c>
      <c r="C3" s="1" t="s">
        <v>11</v>
      </c>
      <c r="D3" s="227" t="s">
        <v>5</v>
      </c>
      <c r="E3" s="227" t="s">
        <v>6</v>
      </c>
      <c r="F3" s="227" t="s">
        <v>7</v>
      </c>
      <c r="G3" s="227" t="s">
        <v>8</v>
      </c>
      <c r="H3" s="227" t="s">
        <v>9</v>
      </c>
      <c r="I3" s="227"/>
    </row>
    <row r="4" spans="1:9">
      <c r="A4" s="221" t="s">
        <v>570</v>
      </c>
      <c r="B4" s="286" t="s">
        <v>40</v>
      </c>
      <c r="C4" s="285" t="s">
        <v>53</v>
      </c>
      <c r="D4" s="71">
        <f>'Regulated revenue'!D49+'Regulated revenue'!D42+'FD forecasts'!D40</f>
        <v>9195.861929943585</v>
      </c>
      <c r="E4" s="71">
        <f>'Regulated revenue'!E49+'Regulated revenue'!E42+'FD forecasts'!E40</f>
        <v>10098.615243177665</v>
      </c>
      <c r="F4" s="71">
        <f>'Regulated revenue'!F49+'Regulated revenue'!F42+'FD forecasts'!F40</f>
        <v>11348.845775137455</v>
      </c>
      <c r="G4" s="71">
        <f>'Regulated revenue'!G49+'Regulated revenue'!G42+'FD forecasts'!G40</f>
        <v>18265.674436651032</v>
      </c>
      <c r="H4" s="71">
        <f>'Regulated revenue'!H49+'Regulated revenue'!H42+'FD forecasts'!H40</f>
        <v>13291.325671809975</v>
      </c>
      <c r="I4" s="66"/>
    </row>
    <row r="5" spans="1:9">
      <c r="A5" s="285" t="s">
        <v>648</v>
      </c>
      <c r="B5" s="286" t="s">
        <v>40</v>
      </c>
      <c r="C5" s="285" t="s">
        <v>53</v>
      </c>
      <c r="D5" s="71">
        <f>'Regulated revenue'!D49+'Regulated revenue'!D42</f>
        <v>8276.6311607128155</v>
      </c>
      <c r="E5" s="71">
        <f>'Regulated revenue'!E49+'Regulated revenue'!E42</f>
        <v>9105.6921662545883</v>
      </c>
      <c r="F5" s="71">
        <f>'Regulated revenue'!F49+'Regulated revenue'!F42</f>
        <v>9636.784236675916</v>
      </c>
      <c r="G5" s="71">
        <f>'Regulated revenue'!G49+'Regulated revenue'!G42</f>
        <v>9654.2821289587246</v>
      </c>
      <c r="H5" s="71">
        <f>'Regulated revenue'!H49+'Regulated revenue'!H42</f>
        <v>4277.9718256561264</v>
      </c>
      <c r="I5" s="66"/>
    </row>
    <row r="6" spans="1:9">
      <c r="B6" s="286"/>
      <c r="D6" s="71"/>
      <c r="E6" s="71"/>
      <c r="F6" s="71"/>
      <c r="G6" s="71"/>
      <c r="H6" s="71"/>
      <c r="I6" s="66"/>
    </row>
    <row r="7" spans="1:9">
      <c r="A7" s="1" t="s">
        <v>571</v>
      </c>
      <c r="B7" s="286"/>
      <c r="D7" s="227" t="s">
        <v>5</v>
      </c>
      <c r="E7" s="227" t="s">
        <v>6</v>
      </c>
      <c r="F7" s="227" t="s">
        <v>7</v>
      </c>
      <c r="G7" s="227" t="s">
        <v>8</v>
      </c>
      <c r="H7" s="227" t="s">
        <v>9</v>
      </c>
      <c r="I7" s="71"/>
    </row>
    <row r="8" spans="1:9">
      <c r="A8" s="322" t="s">
        <v>676</v>
      </c>
      <c r="B8" s="286" t="s">
        <v>40</v>
      </c>
      <c r="C8" s="285" t="s">
        <v>53</v>
      </c>
      <c r="D8" s="317">
        <f>D4+'Regulated revenue'!D$35</f>
        <v>25965.96139372719</v>
      </c>
      <c r="E8" s="317">
        <f>E4+'Regulated revenue'!E$35</f>
        <v>27069.837945461186</v>
      </c>
      <c r="F8" s="317">
        <f>F4+'Regulated revenue'!F$35</f>
        <v>28318.286916547408</v>
      </c>
      <c r="G8" s="317">
        <f>G4+'Regulated revenue'!G$35</f>
        <v>35082.153910194422</v>
      </c>
      <c r="H8" s="317">
        <f>H4+'Regulated revenue'!H$35</f>
        <v>28422.336974478254</v>
      </c>
      <c r="I8" s="295"/>
    </row>
    <row r="9" spans="1:9">
      <c r="A9" s="322" t="s">
        <v>677</v>
      </c>
      <c r="B9" s="286" t="s">
        <v>40</v>
      </c>
      <c r="C9" s="285" t="s">
        <v>53</v>
      </c>
      <c r="D9" s="317">
        <f>D5+'Regulated revenue'!D$35</f>
        <v>25046.73062449642</v>
      </c>
      <c r="E9" s="317">
        <f>E5+'Regulated revenue'!E$35</f>
        <v>26076.914868538108</v>
      </c>
      <c r="F9" s="317">
        <f>F5+'Regulated revenue'!F$35</f>
        <v>26606.225378085866</v>
      </c>
      <c r="G9" s="317">
        <f>G5+'Regulated revenue'!G$35</f>
        <v>26470.761602502113</v>
      </c>
      <c r="H9" s="317">
        <f>H5+'Regulated revenue'!H$35</f>
        <v>19408.983128324406</v>
      </c>
    </row>
    <row r="10" spans="1:9">
      <c r="A10" s="1"/>
      <c r="B10" s="1"/>
      <c r="C10" s="1"/>
      <c r="D10" s="227"/>
      <c r="E10" s="227"/>
      <c r="F10" s="227"/>
      <c r="G10" s="227"/>
      <c r="H10" s="227"/>
      <c r="I10" s="227"/>
    </row>
    <row r="11" spans="1:9">
      <c r="A11" s="186" t="s">
        <v>573</v>
      </c>
      <c r="B11" s="286"/>
      <c r="D11" s="227" t="s">
        <v>5</v>
      </c>
      <c r="E11" s="227" t="s">
        <v>6</v>
      </c>
      <c r="F11" s="227" t="s">
        <v>7</v>
      </c>
      <c r="G11" s="227" t="s">
        <v>8</v>
      </c>
      <c r="H11" s="227" t="s">
        <v>9</v>
      </c>
      <c r="I11" s="295" t="s">
        <v>236</v>
      </c>
    </row>
    <row r="12" spans="1:9">
      <c r="A12" s="322" t="s">
        <v>577</v>
      </c>
      <c r="B12" s="286" t="s">
        <v>572</v>
      </c>
      <c r="D12" s="4">
        <f>D4/D8</f>
        <v>0.35415064324038875</v>
      </c>
      <c r="E12" s="4">
        <f t="shared" ref="E12:G13" si="0">E4/E8</f>
        <v>0.37305783889522343</v>
      </c>
      <c r="F12" s="4">
        <f t="shared" si="0"/>
        <v>0.40076032171656228</v>
      </c>
      <c r="G12" s="4">
        <f t="shared" si="0"/>
        <v>0.52065430427700343</v>
      </c>
      <c r="H12" s="4">
        <f>H4/H8</f>
        <v>0.46763662269379458</v>
      </c>
      <c r="I12" s="225">
        <f>AVERAGE(D12:H12)</f>
        <v>0.42325194616459444</v>
      </c>
    </row>
    <row r="13" spans="1:9">
      <c r="A13" s="322" t="s">
        <v>647</v>
      </c>
      <c r="B13" s="286" t="s">
        <v>572</v>
      </c>
      <c r="D13" s="4">
        <f>D5/D9</f>
        <v>0.33044756558438942</v>
      </c>
      <c r="E13" s="4">
        <f t="shared" si="0"/>
        <v>0.34918594519939317</v>
      </c>
      <c r="F13" s="4">
        <f t="shared" si="0"/>
        <v>0.36220035347867208</v>
      </c>
      <c r="G13" s="4">
        <f t="shared" si="0"/>
        <v>0.36471493619761081</v>
      </c>
      <c r="H13" s="4">
        <f>H5/H9</f>
        <v>0.22041195035164357</v>
      </c>
      <c r="I13" s="225">
        <f>AVERAGE(D13:H13)</f>
        <v>0.32539215016234174</v>
      </c>
    </row>
    <row r="14" spans="1:9">
      <c r="A14" s="221"/>
      <c r="B14" s="286"/>
      <c r="I14" s="71"/>
    </row>
    <row r="15" spans="1:9">
      <c r="A15" s="186" t="s">
        <v>574</v>
      </c>
      <c r="B15" s="286"/>
      <c r="D15" s="227" t="s">
        <v>575</v>
      </c>
      <c r="E15" s="227" t="s">
        <v>576</v>
      </c>
      <c r="F15" s="236" t="s">
        <v>683</v>
      </c>
      <c r="G15" s="236" t="s">
        <v>717</v>
      </c>
      <c r="I15" s="71"/>
    </row>
    <row r="16" spans="1:9">
      <c r="A16" s="322" t="s">
        <v>577</v>
      </c>
      <c r="B16" s="286" t="s">
        <v>572</v>
      </c>
      <c r="D16" s="225">
        <f>('Other inputs'!B12/$I$12)-1</f>
        <v>6.3196528870782309E-2</v>
      </c>
      <c r="E16" s="225">
        <f>('Other inputs'!B19/$I$12)-1</f>
        <v>0.19571669148334836</v>
      </c>
      <c r="F16" s="384">
        <f>('Other inputs'!B26/$I$12)-1</f>
        <v>0.19571669148334836</v>
      </c>
      <c r="G16" s="384">
        <f>('Other inputs'!C27/$I$12)-1</f>
        <v>0.13100236917848851</v>
      </c>
      <c r="I16" s="71"/>
    </row>
    <row r="17" spans="1:9">
      <c r="A17" s="322" t="s">
        <v>647</v>
      </c>
      <c r="B17" s="286" t="s">
        <v>572</v>
      </c>
      <c r="D17" s="225">
        <f>('Other inputs'!B12/$I$13)-1</f>
        <v>0.38294669916127377</v>
      </c>
      <c r="E17" s="225">
        <f>('Other inputs'!B19/$I$13)-1</f>
        <v>0.55532152966604631</v>
      </c>
      <c r="F17" s="384">
        <f>('Other inputs'!B26/$I$13)-1</f>
        <v>0.55532152966604631</v>
      </c>
      <c r="G17" s="384">
        <f>('Other inputs'!C27/$I$13)-1</f>
        <v>0.47114475144140444</v>
      </c>
      <c r="H17" s="225"/>
      <c r="I17" s="71"/>
    </row>
    <row r="18" spans="1:9">
      <c r="A18" s="221"/>
      <c r="B18" s="286"/>
      <c r="I18" s="71"/>
    </row>
    <row r="19" spans="1:9">
      <c r="A19" s="186" t="s">
        <v>578</v>
      </c>
      <c r="B19" s="286"/>
      <c r="D19" s="236" t="s">
        <v>575</v>
      </c>
      <c r="E19" s="236" t="s">
        <v>576</v>
      </c>
      <c r="F19" s="236" t="s">
        <v>683</v>
      </c>
      <c r="G19" s="236" t="s">
        <v>717</v>
      </c>
      <c r="I19" s="71"/>
    </row>
    <row r="20" spans="1:9">
      <c r="A20" s="322" t="s">
        <v>577</v>
      </c>
      <c r="B20" s="286" t="s">
        <v>572</v>
      </c>
      <c r="D20" s="384">
        <f>(1+D16)*'Other inputs'!$B$11</f>
        <v>0.39006022652946826</v>
      </c>
      <c r="E20" s="384">
        <f>(1+E16)*'Other inputs'!$B$18</f>
        <v>0.42602190000860218</v>
      </c>
      <c r="F20" s="384">
        <f>(1+F16)*'Other inputs'!$B$25</f>
        <v>0.39659531223119693</v>
      </c>
      <c r="G20" s="384">
        <f>(1+G16)*'Other inputs'!$B$25</f>
        <v>0.37513086580912103</v>
      </c>
      <c r="I20" s="71"/>
    </row>
    <row r="21" spans="1:9">
      <c r="A21" s="322" t="s">
        <v>647</v>
      </c>
      <c r="B21" s="286" t="s">
        <v>572</v>
      </c>
      <c r="D21" s="384">
        <f>(1+D17)*'Other inputs'!$B$11</f>
        <v>0.50736857025479232</v>
      </c>
      <c r="E21" s="384">
        <f>(1+E17)*'Other inputs'!$B$18</f>
        <v>0.55414550780471561</v>
      </c>
      <c r="F21" s="384">
        <f>(1+F17)*'Other inputs'!$B$25</f>
        <v>0.51586904495963415</v>
      </c>
      <c r="G21" s="384">
        <f>(1+G17)*'Other inputs'!$B$25</f>
        <v>0.487949291158085</v>
      </c>
      <c r="H21" s="71"/>
      <c r="I21" s="71"/>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249977111117893"/>
  </sheetPr>
  <dimension ref="A1"/>
  <sheetViews>
    <sheetView showGridLines="0" workbookViewId="0">
      <selection activeCell="J18" sqref="J18"/>
    </sheetView>
  </sheetViews>
  <sheetFormatPr defaultColWidth="8.6640625" defaultRowHeight="14.25"/>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O132"/>
  <sheetViews>
    <sheetView showGridLines="0" zoomScale="80" zoomScaleNormal="80" workbookViewId="0"/>
  </sheetViews>
  <sheetFormatPr defaultColWidth="8.6640625" defaultRowHeight="14.25"/>
  <cols>
    <col min="1" max="1" width="56" style="285" customWidth="1"/>
    <col min="2" max="2" width="10.33203125" style="285" customWidth="1"/>
    <col min="3" max="3" width="16.6640625" style="285" customWidth="1"/>
    <col min="4" max="9" width="12.33203125" style="285" customWidth="1"/>
    <col min="10" max="11" width="8.6640625" style="285"/>
    <col min="12" max="12" width="8.9296875" style="285" bestFit="1" customWidth="1"/>
    <col min="13" max="16384" width="8.6640625" style="285"/>
  </cols>
  <sheetData>
    <row r="1" spans="1:11" ht="18">
      <c r="A1" s="256" t="s">
        <v>543</v>
      </c>
      <c r="B1" s="257"/>
    </row>
    <row r="3" spans="1:11" ht="18">
      <c r="A3" s="316" t="s">
        <v>580</v>
      </c>
      <c r="B3" s="247" t="s">
        <v>10</v>
      </c>
      <c r="C3" s="247" t="s">
        <v>11</v>
      </c>
      <c r="D3" s="245" t="s">
        <v>5</v>
      </c>
      <c r="E3" s="245" t="s">
        <v>6</v>
      </c>
      <c r="F3" s="245" t="s">
        <v>7</v>
      </c>
      <c r="G3" s="245" t="s">
        <v>8</v>
      </c>
      <c r="H3" s="245" t="s">
        <v>9</v>
      </c>
      <c r="I3" s="246" t="s">
        <v>20</v>
      </c>
      <c r="J3" s="246"/>
      <c r="K3" s="246"/>
    </row>
    <row r="4" spans="1:11">
      <c r="A4" s="1"/>
    </row>
    <row r="5" spans="1:11">
      <c r="A5" s="1" t="s">
        <v>748</v>
      </c>
      <c r="B5" s="286"/>
      <c r="C5" s="221"/>
    </row>
    <row r="6" spans="1:11">
      <c r="A6" s="260" t="s">
        <v>447</v>
      </c>
      <c r="B6" s="286" t="s">
        <v>40</v>
      </c>
      <c r="C6" s="221" t="s">
        <v>53</v>
      </c>
      <c r="D6" s="321">
        <f>'FD allowances'!D8</f>
        <v>8116.8259110219969</v>
      </c>
      <c r="E6" s="321">
        <f>'FD allowances'!E8</f>
        <v>8090.7447617973121</v>
      </c>
      <c r="F6" s="321">
        <f>'FD allowances'!F8</f>
        <v>8094.8371051185304</v>
      </c>
      <c r="G6" s="321">
        <f>'FD allowances'!G8</f>
        <v>7986.1899320511184</v>
      </c>
      <c r="H6" s="321">
        <f>'FD allowances'!H8</f>
        <v>7949.6936354942691</v>
      </c>
      <c r="I6" s="321">
        <f t="shared" ref="I6:I11" si="0">SUM(D6:H6)</f>
        <v>40238.291345483223</v>
      </c>
    </row>
    <row r="7" spans="1:11">
      <c r="A7" s="260" t="s">
        <v>242</v>
      </c>
      <c r="B7" s="286" t="s">
        <v>40</v>
      </c>
      <c r="C7" s="221" t="s">
        <v>53</v>
      </c>
      <c r="D7" s="321">
        <f>'FD allowances'!D9</f>
        <v>3472.1286991865918</v>
      </c>
      <c r="E7" s="321">
        <f>'FD allowances'!E9</f>
        <v>3447.1286991865918</v>
      </c>
      <c r="F7" s="321">
        <f>'FD allowances'!F9</f>
        <v>3471.1286991865918</v>
      </c>
      <c r="G7" s="321">
        <f>'FD allowances'!G9</f>
        <v>3495.1286991865918</v>
      </c>
      <c r="H7" s="321">
        <f>'FD allowances'!H9</f>
        <v>2280.1286991865918</v>
      </c>
      <c r="I7" s="321">
        <f t="shared" si="0"/>
        <v>16165.64349593296</v>
      </c>
    </row>
    <row r="8" spans="1:11">
      <c r="A8" s="260" t="s">
        <v>243</v>
      </c>
      <c r="B8" s="286" t="s">
        <v>40</v>
      </c>
      <c r="C8" s="221" t="s">
        <v>53</v>
      </c>
      <c r="D8" s="321">
        <f>'FD allowances'!D10</f>
        <v>1246.7644972564522</v>
      </c>
      <c r="E8" s="321">
        <f>'FD allowances'!E10</f>
        <v>1202.7628345364519</v>
      </c>
      <c r="F8" s="321">
        <f>'FD allowances'!F10</f>
        <v>1209.0011053076523</v>
      </c>
      <c r="G8" s="321">
        <f>'FD allowances'!G10</f>
        <v>1615.4889069096998</v>
      </c>
      <c r="H8" s="321">
        <f>'FD allowances'!H10</f>
        <v>1322.2362205758309</v>
      </c>
      <c r="I8" s="321">
        <f t="shared" si="0"/>
        <v>6596.2535645860871</v>
      </c>
    </row>
    <row r="9" spans="1:11">
      <c r="A9" s="260" t="s">
        <v>770</v>
      </c>
      <c r="B9" s="286" t="s">
        <v>40</v>
      </c>
      <c r="C9" s="221" t="s">
        <v>53</v>
      </c>
      <c r="D9" s="321">
        <f>'FD allowances'!D11</f>
        <v>20.010999999999999</v>
      </c>
      <c r="E9" s="321">
        <f>'FD allowances'!E11</f>
        <v>29.808</v>
      </c>
      <c r="F9" s="321">
        <f>'FD allowances'!F11</f>
        <v>39.863999999999997</v>
      </c>
      <c r="G9" s="321">
        <f>'FD allowances'!G11</f>
        <v>51.055999999999997</v>
      </c>
      <c r="H9" s="321">
        <f>'FD allowances'!H11</f>
        <v>54.232999999999997</v>
      </c>
      <c r="I9" s="321">
        <f t="shared" ref="I9" si="1">SUM(D9:H9)</f>
        <v>194.97199999999998</v>
      </c>
    </row>
    <row r="10" spans="1:11">
      <c r="A10" s="260" t="s">
        <v>642</v>
      </c>
      <c r="B10" s="286" t="s">
        <v>40</v>
      </c>
      <c r="C10" s="221" t="s">
        <v>53</v>
      </c>
      <c r="D10" s="285">
        <f>'FD forecasts'!D5</f>
        <v>0</v>
      </c>
      <c r="E10" s="285">
        <f>'FD forecasts'!E5</f>
        <v>0</v>
      </c>
      <c r="F10" s="285">
        <f>'FD forecasts'!F5</f>
        <v>0</v>
      </c>
      <c r="G10" s="285">
        <f>'FD forecasts'!G5</f>
        <v>0</v>
      </c>
      <c r="H10" s="285">
        <f>'FD forecasts'!H5</f>
        <v>0</v>
      </c>
      <c r="I10" s="321">
        <f t="shared" si="0"/>
        <v>0</v>
      </c>
    </row>
    <row r="11" spans="1:11">
      <c r="A11" s="374" t="s">
        <v>20</v>
      </c>
      <c r="B11" s="286" t="s">
        <v>40</v>
      </c>
      <c r="C11" s="221" t="s">
        <v>53</v>
      </c>
      <c r="D11" s="255">
        <f>SUM(D6:D10)</f>
        <v>12855.73010746504</v>
      </c>
      <c r="E11" s="255">
        <f>SUM(E6:E10)</f>
        <v>12770.444295520358</v>
      </c>
      <c r="F11" s="255">
        <f>SUM(F6:F10)</f>
        <v>12814.830909612774</v>
      </c>
      <c r="G11" s="255">
        <f>SUM(G6:G10)</f>
        <v>13147.863538147412</v>
      </c>
      <c r="H11" s="255">
        <f>SUM(H6:H10)</f>
        <v>11606.291555256692</v>
      </c>
      <c r="I11" s="321">
        <f t="shared" si="0"/>
        <v>63195.160406002273</v>
      </c>
    </row>
    <row r="12" spans="1:11">
      <c r="A12" s="260"/>
      <c r="B12" s="286"/>
      <c r="C12" s="221"/>
      <c r="D12" s="255"/>
      <c r="E12" s="255"/>
      <c r="F12" s="255"/>
      <c r="G12" s="255"/>
      <c r="H12" s="255"/>
      <c r="I12" s="321"/>
    </row>
    <row r="13" spans="1:11">
      <c r="A13" s="1" t="s">
        <v>749</v>
      </c>
      <c r="B13" s="286"/>
      <c r="C13" s="221"/>
    </row>
    <row r="14" spans="1:11">
      <c r="A14" s="260" t="s">
        <v>447</v>
      </c>
      <c r="B14" s="286" t="s">
        <v>40</v>
      </c>
      <c r="C14" s="221" t="s">
        <v>53</v>
      </c>
      <c r="D14" s="321">
        <f>'FD allowances'!D15</f>
        <v>728.04771815799336</v>
      </c>
      <c r="E14" s="321">
        <f>'FD allowances'!E15</f>
        <v>725.6823448265842</v>
      </c>
      <c r="F14" s="321">
        <f>'FD allowances'!F15</f>
        <v>765.71402715362376</v>
      </c>
      <c r="G14" s="321">
        <f>'FD allowances'!G15</f>
        <v>755.32206342976099</v>
      </c>
      <c r="H14" s="321">
        <f>'FD allowances'!H15</f>
        <v>751.83123914813143</v>
      </c>
      <c r="I14" s="321">
        <f t="shared" ref="I14:I19" si="2">SUM(D14:H14)</f>
        <v>3726.5973927160935</v>
      </c>
    </row>
    <row r="15" spans="1:11">
      <c r="A15" s="260" t="s">
        <v>242</v>
      </c>
      <c r="B15" s="286" t="s">
        <v>40</v>
      </c>
      <c r="C15" s="221" t="s">
        <v>53</v>
      </c>
      <c r="D15" s="321">
        <f>'FD allowances'!D16</f>
        <v>280.46153846153845</v>
      </c>
      <c r="E15" s="321">
        <f>'FD allowances'!E16</f>
        <v>317.83516483516485</v>
      </c>
      <c r="F15" s="321">
        <f>'FD allowances'!F16</f>
        <v>478.90109890109886</v>
      </c>
      <c r="G15" s="321">
        <f>'FD allowances'!G16</f>
        <v>587.90109890109898</v>
      </c>
      <c r="H15" s="321">
        <f>'FD allowances'!H16</f>
        <v>618.90109890109898</v>
      </c>
      <c r="I15" s="321">
        <f t="shared" si="2"/>
        <v>2284</v>
      </c>
    </row>
    <row r="16" spans="1:11">
      <c r="A16" s="260" t="s">
        <v>243</v>
      </c>
      <c r="B16" s="286" t="s">
        <v>40</v>
      </c>
      <c r="C16" s="221" t="s">
        <v>53</v>
      </c>
      <c r="D16" s="321">
        <f>'FD allowances'!D17</f>
        <v>614.88836607580777</v>
      </c>
      <c r="E16" s="321">
        <f>'FD allowances'!E17</f>
        <v>560.71254189998342</v>
      </c>
      <c r="F16" s="321">
        <f>'FD allowances'!F17</f>
        <v>521.15210233954394</v>
      </c>
      <c r="G16" s="321">
        <f>'FD allowances'!G17</f>
        <v>521.15210233954394</v>
      </c>
      <c r="H16" s="321">
        <f>'FD allowances'!H17</f>
        <v>521.15210233954394</v>
      </c>
      <c r="I16" s="321">
        <f t="shared" si="2"/>
        <v>2739.0572149944232</v>
      </c>
    </row>
    <row r="17" spans="1:12">
      <c r="A17" s="260" t="s">
        <v>770</v>
      </c>
      <c r="B17" s="286" t="s">
        <v>40</v>
      </c>
      <c r="C17" s="221" t="s">
        <v>53</v>
      </c>
      <c r="D17" s="321">
        <f>'FD allowances'!D18</f>
        <v>2.4660000000000002</v>
      </c>
      <c r="E17" s="321">
        <f>'FD allowances'!E18</f>
        <v>3.657</v>
      </c>
      <c r="F17" s="321">
        <f>'FD allowances'!F18</f>
        <v>5.3680000000000003</v>
      </c>
      <c r="G17" s="321">
        <f>'FD allowances'!G18</f>
        <v>7.0880000000000001</v>
      </c>
      <c r="H17" s="321">
        <f>'FD allowances'!H18</f>
        <v>8.6340000000000003</v>
      </c>
      <c r="I17" s="321">
        <f t="shared" ref="I17" si="3">SUM(D17:H17)</f>
        <v>27.213000000000001</v>
      </c>
    </row>
    <row r="18" spans="1:12">
      <c r="A18" s="260" t="s">
        <v>642</v>
      </c>
      <c r="B18" s="286" t="s">
        <v>40</v>
      </c>
      <c r="C18" s="221" t="s">
        <v>53</v>
      </c>
      <c r="D18" s="321">
        <f>'FD forecasts'!D6</f>
        <v>476.34149294874948</v>
      </c>
      <c r="E18" s="321">
        <f>'FD forecasts'!E6</f>
        <v>781.82578520001323</v>
      </c>
      <c r="F18" s="321">
        <f>'FD forecasts'!F6</f>
        <v>672.24343703991735</v>
      </c>
      <c r="G18" s="321">
        <f>'FD forecasts'!G6</f>
        <v>693.21216166509316</v>
      </c>
      <c r="H18" s="321">
        <f>'FD forecasts'!H6</f>
        <v>664.79820762004476</v>
      </c>
      <c r="I18" s="321">
        <f t="shared" si="2"/>
        <v>3288.4210844738177</v>
      </c>
    </row>
    <row r="19" spans="1:12">
      <c r="A19" s="374" t="s">
        <v>20</v>
      </c>
      <c r="B19" s="286" t="s">
        <v>40</v>
      </c>
      <c r="C19" s="221" t="s">
        <v>53</v>
      </c>
      <c r="D19" s="255">
        <f>SUM(D14:D18)</f>
        <v>2102.2051156440889</v>
      </c>
      <c r="E19" s="255">
        <f>SUM(E14:E18)</f>
        <v>2389.7128367617456</v>
      </c>
      <c r="F19" s="255">
        <f>SUM(F14:F18)</f>
        <v>2443.3786654341839</v>
      </c>
      <c r="G19" s="255">
        <f>SUM(G14:G18)</f>
        <v>2564.6754263354969</v>
      </c>
      <c r="H19" s="255">
        <f>SUM(H14:H18)</f>
        <v>2565.3166480088189</v>
      </c>
      <c r="I19" s="321">
        <f t="shared" si="2"/>
        <v>12065.288692184335</v>
      </c>
    </row>
    <row r="20" spans="1:12">
      <c r="A20" s="260"/>
      <c r="B20" s="286"/>
      <c r="C20" s="221"/>
      <c r="D20" s="255"/>
      <c r="E20" s="255"/>
      <c r="F20" s="255"/>
      <c r="G20" s="255"/>
      <c r="H20" s="255"/>
      <c r="I20" s="321"/>
    </row>
    <row r="21" spans="1:12">
      <c r="A21" s="1" t="s">
        <v>641</v>
      </c>
      <c r="B21" s="286" t="s">
        <v>40</v>
      </c>
      <c r="C21" s="221" t="s">
        <v>53</v>
      </c>
      <c r="D21" s="323">
        <f>D11+D19</f>
        <v>14957.935223109129</v>
      </c>
      <c r="E21" s="323">
        <f t="shared" ref="E21:H21" si="4">E11+E19</f>
        <v>15160.157132282104</v>
      </c>
      <c r="F21" s="323">
        <f t="shared" si="4"/>
        <v>15258.209575046958</v>
      </c>
      <c r="G21" s="323">
        <f t="shared" si="4"/>
        <v>15712.538964482908</v>
      </c>
      <c r="H21" s="323">
        <f t="shared" si="4"/>
        <v>14171.60820326551</v>
      </c>
      <c r="I21" s="323">
        <f>I11+I19</f>
        <v>75260.449098186611</v>
      </c>
      <c r="J21" s="255"/>
      <c r="L21" s="255"/>
    </row>
    <row r="22" spans="1:12">
      <c r="A22" s="1"/>
      <c r="B22" s="286"/>
      <c r="C22" s="221"/>
      <c r="D22" s="323"/>
      <c r="E22" s="323"/>
      <c r="F22" s="323"/>
      <c r="G22" s="323"/>
      <c r="H22" s="323"/>
      <c r="I22" s="323"/>
    </row>
    <row r="23" spans="1:12">
      <c r="A23" s="1" t="s">
        <v>645</v>
      </c>
      <c r="B23" s="286"/>
      <c r="C23" s="221"/>
      <c r="D23" s="323"/>
      <c r="E23" s="323"/>
      <c r="F23" s="323"/>
      <c r="G23" s="323"/>
      <c r="H23" s="323"/>
      <c r="I23" s="323"/>
    </row>
    <row r="24" spans="1:12">
      <c r="A24" s="232" t="s">
        <v>727</v>
      </c>
      <c r="B24" s="286" t="s">
        <v>40</v>
      </c>
      <c r="C24" s="221" t="s">
        <v>53</v>
      </c>
      <c r="D24" s="321">
        <f>'FD forecasts'!D27</f>
        <v>250</v>
      </c>
      <c r="E24" s="321">
        <f>'FD forecasts'!E27</f>
        <v>250</v>
      </c>
      <c r="F24" s="321">
        <f>'FD forecasts'!F27</f>
        <v>250</v>
      </c>
      <c r="G24" s="321">
        <f>'FD forecasts'!G27</f>
        <v>250</v>
      </c>
      <c r="H24" s="321">
        <f>'FD forecasts'!H27</f>
        <v>250</v>
      </c>
      <c r="I24" s="321">
        <f t="shared" ref="I24:I29" si="5">SUM(D24:H24)</f>
        <v>1250</v>
      </c>
      <c r="J24" s="255"/>
    </row>
    <row r="25" spans="1:12">
      <c r="A25" s="232" t="s">
        <v>726</v>
      </c>
      <c r="B25" s="286" t="s">
        <v>40</v>
      </c>
      <c r="C25" s="221" t="s">
        <v>53</v>
      </c>
      <c r="D25" s="321">
        <f>'FD forecasts'!D28</f>
        <v>338.16424067447781</v>
      </c>
      <c r="E25" s="321">
        <f>'FD forecasts'!E28</f>
        <v>337.06557000141885</v>
      </c>
      <c r="F25" s="321">
        <f>'FD forecasts'!F28</f>
        <v>337.2315663629949</v>
      </c>
      <c r="G25" s="321">
        <f>'FD forecasts'!G28</f>
        <v>332.65479477476515</v>
      </c>
      <c r="H25" s="321">
        <f>'FD forecasts'!H28</f>
        <v>331.11738511705266</v>
      </c>
      <c r="I25" s="321">
        <f t="shared" ref="I25" si="6">SUM(D25:H25)</f>
        <v>1676.2335569307095</v>
      </c>
      <c r="J25" s="255"/>
    </row>
    <row r="26" spans="1:12">
      <c r="A26" s="286" t="s">
        <v>179</v>
      </c>
      <c r="B26" s="286" t="s">
        <v>40</v>
      </c>
      <c r="C26" s="221" t="s">
        <v>53</v>
      </c>
      <c r="D26" s="321">
        <f>'FD forecasts'!D29</f>
        <v>100.00000000000001</v>
      </c>
      <c r="E26" s="321">
        <f>'FD forecasts'!E29</f>
        <v>100.00000000000001</v>
      </c>
      <c r="F26" s="321">
        <f>'FD forecasts'!F29</f>
        <v>100</v>
      </c>
      <c r="G26" s="321">
        <f>'FD forecasts'!G29</f>
        <v>99.999999999999986</v>
      </c>
      <c r="H26" s="321">
        <f>'FD forecasts'!H29</f>
        <v>99.999999999999972</v>
      </c>
      <c r="I26" s="321">
        <f t="shared" si="5"/>
        <v>500</v>
      </c>
    </row>
    <row r="27" spans="1:12">
      <c r="A27" s="286" t="s">
        <v>198</v>
      </c>
      <c r="B27" s="286" t="s">
        <v>40</v>
      </c>
      <c r="C27" s="221" t="s">
        <v>53</v>
      </c>
      <c r="D27" s="321">
        <f>'FD forecasts'!D30</f>
        <v>143</v>
      </c>
      <c r="E27" s="321">
        <f>'FD forecasts'!E30</f>
        <v>143.00000000000003</v>
      </c>
      <c r="F27" s="321">
        <f>'FD forecasts'!F30</f>
        <v>143</v>
      </c>
      <c r="G27" s="321">
        <f>'FD forecasts'!G30</f>
        <v>143</v>
      </c>
      <c r="H27" s="291">
        <f>'FD forecasts'!H30</f>
        <v>0</v>
      </c>
      <c r="I27" s="321">
        <f t="shared" si="5"/>
        <v>572</v>
      </c>
      <c r="K27" s="255"/>
      <c r="L27" s="71"/>
    </row>
    <row r="28" spans="1:12">
      <c r="A28" s="221" t="s">
        <v>633</v>
      </c>
      <c r="B28" s="286" t="s">
        <v>40</v>
      </c>
      <c r="C28" s="221" t="s">
        <v>53</v>
      </c>
      <c r="D28" s="321">
        <f>'FD forecasts'!D31</f>
        <v>120</v>
      </c>
      <c r="E28" s="321">
        <f>'FD forecasts'!E31</f>
        <v>120</v>
      </c>
      <c r="F28" s="321">
        <f>'FD forecasts'!F31</f>
        <v>120</v>
      </c>
      <c r="G28" s="321">
        <f>'FD forecasts'!G31</f>
        <v>120</v>
      </c>
      <c r="H28" s="321">
        <f>'FD forecasts'!H31</f>
        <v>120</v>
      </c>
      <c r="I28" s="321">
        <f t="shared" si="5"/>
        <v>600</v>
      </c>
      <c r="L28" s="225"/>
    </row>
    <row r="29" spans="1:12">
      <c r="A29" s="65" t="s">
        <v>20</v>
      </c>
      <c r="B29" s="286" t="s">
        <v>40</v>
      </c>
      <c r="C29" s="221" t="s">
        <v>53</v>
      </c>
      <c r="D29" s="323">
        <f>SUM(D24:D28)</f>
        <v>951.16424067447781</v>
      </c>
      <c r="E29" s="323">
        <f>SUM(E24:E28)</f>
        <v>950.06557000141879</v>
      </c>
      <c r="F29" s="323">
        <f>SUM(F24:F28)</f>
        <v>950.23156636299495</v>
      </c>
      <c r="G29" s="323">
        <f>SUM(G24:G28)</f>
        <v>945.65479477476515</v>
      </c>
      <c r="H29" s="323">
        <f>SUM(H24:H28)</f>
        <v>801.11738511705266</v>
      </c>
      <c r="I29" s="323">
        <f t="shared" si="5"/>
        <v>4598.2335569307088</v>
      </c>
      <c r="L29" s="225"/>
    </row>
    <row r="30" spans="1:12">
      <c r="A30" s="1"/>
      <c r="B30" s="286"/>
      <c r="C30" s="221"/>
      <c r="D30" s="323"/>
      <c r="E30" s="323"/>
      <c r="F30" s="323"/>
      <c r="G30" s="323"/>
      <c r="H30" s="323"/>
      <c r="I30" s="323"/>
    </row>
    <row r="31" spans="1:12">
      <c r="A31" s="1" t="s">
        <v>643</v>
      </c>
    </row>
    <row r="32" spans="1:12">
      <c r="A32" s="285" t="s">
        <v>644</v>
      </c>
      <c r="B32" s="286" t="s">
        <v>40</v>
      </c>
      <c r="C32" s="232" t="s">
        <v>53</v>
      </c>
      <c r="D32" s="291">
        <f>-'FD forecasts'!D50</f>
        <v>0</v>
      </c>
      <c r="E32" s="291">
        <f>-'FD forecasts'!E50</f>
        <v>0</v>
      </c>
      <c r="F32" s="291">
        <f>-'FD forecasts'!F50</f>
        <v>-100</v>
      </c>
      <c r="G32" s="291">
        <f>-'FD forecasts'!G50</f>
        <v>-100</v>
      </c>
      <c r="H32" s="291">
        <f>-'FD forecasts'!H50</f>
        <v>-100</v>
      </c>
      <c r="I32" s="291">
        <f>SUM(D32:H32)</f>
        <v>-300</v>
      </c>
    </row>
    <row r="33" spans="1:12">
      <c r="A33" s="285" t="s">
        <v>639</v>
      </c>
      <c r="B33" s="286" t="s">
        <v>40</v>
      </c>
      <c r="C33" s="221" t="s">
        <v>53</v>
      </c>
      <c r="D33" s="321">
        <f>'FD allowances'!D67</f>
        <v>861</v>
      </c>
      <c r="E33" s="321">
        <f>'FD allowances'!E67</f>
        <v>861</v>
      </c>
      <c r="F33" s="321">
        <f>'FD allowances'!F67</f>
        <v>861</v>
      </c>
      <c r="G33" s="321">
        <f>'FD allowances'!G67</f>
        <v>258.28571428571428</v>
      </c>
      <c r="H33" s="321">
        <f>'FD allowances'!H67</f>
        <v>258.28571428571428</v>
      </c>
      <c r="I33" s="321">
        <f>SUM(D33:H33)</f>
        <v>3099.5714285714284</v>
      </c>
    </row>
    <row r="34" spans="1:12">
      <c r="B34" s="286"/>
      <c r="C34" s="221"/>
      <c r="D34" s="321"/>
      <c r="E34" s="321"/>
      <c r="F34" s="321"/>
      <c r="G34" s="321"/>
      <c r="H34" s="321"/>
      <c r="I34" s="321"/>
    </row>
    <row r="35" spans="1:12">
      <c r="A35" s="1" t="s">
        <v>20</v>
      </c>
      <c r="B35" s="286" t="s">
        <v>40</v>
      </c>
      <c r="C35" s="221" t="s">
        <v>53</v>
      </c>
      <c r="D35" s="295">
        <f>D21+D29+D32+D33</f>
        <v>16770.099463783605</v>
      </c>
      <c r="E35" s="295">
        <f>E21+E29+E32+E33</f>
        <v>16971.222702283521</v>
      </c>
      <c r="F35" s="295">
        <f>F21+F29+F32+F33</f>
        <v>16969.441141409952</v>
      </c>
      <c r="G35" s="295">
        <f>G21+G29+G32+G33</f>
        <v>16816.479473543386</v>
      </c>
      <c r="H35" s="295">
        <f>H21+H29+H32+H33</f>
        <v>15131.011302668277</v>
      </c>
      <c r="I35" s="248">
        <f>SUM(D35:H35)</f>
        <v>82658.254083688749</v>
      </c>
    </row>
    <row r="36" spans="1:12">
      <c r="D36" s="71"/>
    </row>
    <row r="37" spans="1:12">
      <c r="A37" s="1" t="s">
        <v>592</v>
      </c>
    </row>
    <row r="38" spans="1:12">
      <c r="A38" s="285" t="s">
        <v>492</v>
      </c>
      <c r="B38" s="286" t="s">
        <v>40</v>
      </c>
      <c r="C38" s="221" t="s">
        <v>53</v>
      </c>
      <c r="D38" s="66">
        <f>RAB!N350</f>
        <v>131.82679215922394</v>
      </c>
      <c r="E38" s="66">
        <f>RAB!O350</f>
        <v>133.72679215922392</v>
      </c>
      <c r="F38" s="66">
        <f>RAB!P350</f>
        <v>134.87679215922395</v>
      </c>
      <c r="G38" s="66">
        <f>RAB!Q350</f>
        <v>135.27679215922393</v>
      </c>
      <c r="H38" s="66">
        <f>RAB!R350</f>
        <v>135.67679215922396</v>
      </c>
      <c r="I38" s="66">
        <f>SUM(D38:H38)</f>
        <v>671.38396079611971</v>
      </c>
    </row>
    <row r="39" spans="1:12">
      <c r="A39" s="221" t="s">
        <v>493</v>
      </c>
      <c r="B39" s="286" t="s">
        <v>40</v>
      </c>
      <c r="C39" s="221" t="s">
        <v>53</v>
      </c>
      <c r="D39" s="66">
        <f>RAB!N342</f>
        <v>1382.2451486636617</v>
      </c>
      <c r="E39" s="66">
        <f>RAB!O342</f>
        <v>2116.2950382451695</v>
      </c>
      <c r="F39" s="66">
        <f>RAB!P342</f>
        <v>2677.861967385586</v>
      </c>
      <c r="G39" s="66">
        <f>RAB!Q342</f>
        <v>2973.9666840589643</v>
      </c>
      <c r="H39" s="66">
        <f>RAB!R342</f>
        <v>3143.5982653026067</v>
      </c>
      <c r="I39" s="66">
        <f>SUM(D39:H39)</f>
        <v>12293.967103655988</v>
      </c>
    </row>
    <row r="40" spans="1:12">
      <c r="A40" s="285" t="s">
        <v>494</v>
      </c>
      <c r="B40" s="286" t="s">
        <v>40</v>
      </c>
      <c r="C40" s="221" t="s">
        <v>53</v>
      </c>
      <c r="D40" s="66">
        <f>RAB!N367</f>
        <v>5212.1243584249341</v>
      </c>
      <c r="E40" s="66">
        <f>RAB!O367</f>
        <v>5242.1243584249341</v>
      </c>
      <c r="F40" s="66">
        <f>RAB!P367</f>
        <v>5272.1243584249341</v>
      </c>
      <c r="G40" s="66">
        <f>RAB!Q367</f>
        <v>5302.1243584249341</v>
      </c>
      <c r="H40" s="66">
        <f>RAB!R367</f>
        <v>150</v>
      </c>
      <c r="I40" s="66">
        <f>SUM(D40:H40)</f>
        <v>21178.497433699737</v>
      </c>
    </row>
    <row r="41" spans="1:12">
      <c r="A41" s="285" t="s">
        <v>233</v>
      </c>
      <c r="B41" s="286" t="s">
        <v>40</v>
      </c>
      <c r="C41" s="221" t="s">
        <v>53</v>
      </c>
      <c r="D41" s="66">
        <f>RAB!N359</f>
        <v>0</v>
      </c>
      <c r="E41" s="66">
        <f>RAB!O359</f>
        <v>0</v>
      </c>
      <c r="F41" s="66">
        <f>RAB!P359</f>
        <v>0</v>
      </c>
      <c r="G41" s="66">
        <f>RAB!Q359</f>
        <v>0</v>
      </c>
      <c r="H41" s="66">
        <f>RAB!R359</f>
        <v>0</v>
      </c>
      <c r="I41" s="66">
        <f>SUM(D41:H41)</f>
        <v>0</v>
      </c>
    </row>
    <row r="42" spans="1:12">
      <c r="A42" s="1" t="s">
        <v>20</v>
      </c>
      <c r="B42" s="286" t="s">
        <v>40</v>
      </c>
      <c r="C42" s="221" t="s">
        <v>53</v>
      </c>
      <c r="D42" s="248">
        <f t="shared" ref="D42:I42" si="7">SUM(D38:D41)</f>
        <v>6726.1962992478202</v>
      </c>
      <c r="E42" s="248">
        <f t="shared" si="7"/>
        <v>7492.146188829327</v>
      </c>
      <c r="F42" s="248">
        <f t="shared" si="7"/>
        <v>8084.8631179697441</v>
      </c>
      <c r="G42" s="248">
        <f t="shared" si="7"/>
        <v>8411.3678346431225</v>
      </c>
      <c r="H42" s="248">
        <f t="shared" si="7"/>
        <v>3429.2750574618308</v>
      </c>
      <c r="I42" s="248">
        <f t="shared" si="7"/>
        <v>34143.848498151841</v>
      </c>
      <c r="J42" s="66"/>
      <c r="K42" s="66"/>
      <c r="L42" s="66"/>
    </row>
    <row r="43" spans="1:12">
      <c r="D43" s="66"/>
      <c r="E43" s="66"/>
      <c r="F43" s="66"/>
      <c r="G43" s="66"/>
      <c r="H43" s="66"/>
      <c r="I43" s="66"/>
      <c r="J43" s="66"/>
      <c r="K43" s="66"/>
      <c r="L43" s="66"/>
    </row>
    <row r="44" spans="1:12">
      <c r="A44" s="1" t="s">
        <v>496</v>
      </c>
      <c r="D44" s="66"/>
      <c r="E44" s="66"/>
      <c r="F44" s="66"/>
      <c r="G44" s="66"/>
      <c r="H44" s="66"/>
      <c r="I44" s="66"/>
      <c r="J44" s="66"/>
      <c r="K44" s="66"/>
      <c r="L44" s="66"/>
    </row>
    <row r="45" spans="1:12">
      <c r="A45" s="285" t="s">
        <v>492</v>
      </c>
      <c r="B45" s="286" t="s">
        <v>40</v>
      </c>
      <c r="C45" s="221" t="s">
        <v>53</v>
      </c>
      <c r="D45" s="66">
        <f>Return!D29</f>
        <v>86.997088224264473</v>
      </c>
      <c r="E45" s="66">
        <f>Return!E29</f>
        <v>83.562854940025105</v>
      </c>
      <c r="F45" s="66">
        <f>Return!F29</f>
        <v>79.312114865662295</v>
      </c>
      <c r="G45" s="66">
        <f>Return!G29</f>
        <v>74.275071704879707</v>
      </c>
      <c r="H45" s="66">
        <f>Return!H29</f>
        <v>69.221919902121812</v>
      </c>
      <c r="I45" s="66">
        <f>SUM(D45:H45)</f>
        <v>393.36904963695338</v>
      </c>
      <c r="J45" s="66"/>
      <c r="K45" s="66"/>
      <c r="L45" s="66"/>
    </row>
    <row r="46" spans="1:12">
      <c r="A46" s="221" t="s">
        <v>493</v>
      </c>
      <c r="B46" s="286" t="s">
        <v>40</v>
      </c>
      <c r="C46" s="221" t="s">
        <v>53</v>
      </c>
      <c r="D46" s="66">
        <f>Return!D30</f>
        <v>158.3410957039047</v>
      </c>
      <c r="E46" s="66">
        <f>Return!E30</f>
        <v>285.3138848756347</v>
      </c>
      <c r="F46" s="66">
        <f>Return!F30</f>
        <v>341.2721684563283</v>
      </c>
      <c r="G46" s="66">
        <f>Return!G30</f>
        <v>329.5514622914684</v>
      </c>
      <c r="H46" s="66">
        <f>Return!H30</f>
        <v>299.67070190614231</v>
      </c>
      <c r="I46" s="66">
        <f>SUM(D46:H46)</f>
        <v>1414.1493132334783</v>
      </c>
      <c r="J46" s="66"/>
      <c r="K46" s="66"/>
      <c r="L46" s="66"/>
    </row>
    <row r="47" spans="1:12">
      <c r="A47" s="285" t="s">
        <v>494</v>
      </c>
      <c r="B47" s="286" t="s">
        <v>40</v>
      </c>
      <c r="C47" s="221" t="s">
        <v>53</v>
      </c>
      <c r="D47" s="66">
        <f>Return!D31</f>
        <v>732.83992345848708</v>
      </c>
      <c r="E47" s="66">
        <f>Return!E31</f>
        <v>528.37597707352256</v>
      </c>
      <c r="F47" s="66">
        <f>Return!F31</f>
        <v>322.70388254040972</v>
      </c>
      <c r="G47" s="66">
        <f>Return!G31</f>
        <v>115.82363985914888</v>
      </c>
      <c r="H47" s="66">
        <f>Return!H31</f>
        <v>12.081481481481406</v>
      </c>
      <c r="I47" s="66">
        <f>SUM(D47:H47)</f>
        <v>1711.8249044130496</v>
      </c>
      <c r="J47" s="66"/>
      <c r="K47" s="66"/>
      <c r="L47" s="66"/>
    </row>
    <row r="48" spans="1:12">
      <c r="A48" s="221" t="s">
        <v>495</v>
      </c>
      <c r="B48" s="286" t="s">
        <v>40</v>
      </c>
      <c r="C48" s="221" t="s">
        <v>53</v>
      </c>
      <c r="D48" s="66">
        <f>Return!D32</f>
        <v>572.25675407833921</v>
      </c>
      <c r="E48" s="66">
        <f>Return!E32</f>
        <v>716.29326053607895</v>
      </c>
      <c r="F48" s="66">
        <f>Return!F32</f>
        <v>808.63295284377125</v>
      </c>
      <c r="G48" s="66">
        <f>Return!G32</f>
        <v>723.26412046010557</v>
      </c>
      <c r="H48" s="66">
        <f>Return!H32</f>
        <v>467.72266490455013</v>
      </c>
      <c r="I48" s="66">
        <f>SUM(D48:H48)</f>
        <v>3288.1697528228451</v>
      </c>
      <c r="J48" s="66"/>
      <c r="K48" s="66"/>
      <c r="L48" s="66"/>
    </row>
    <row r="49" spans="1:15">
      <c r="A49" s="1" t="s">
        <v>20</v>
      </c>
      <c r="B49" s="286" t="s">
        <v>40</v>
      </c>
      <c r="C49" s="221" t="s">
        <v>53</v>
      </c>
      <c r="D49" s="248">
        <f>SUM(D45:D48)</f>
        <v>1550.4348614649955</v>
      </c>
      <c r="E49" s="248">
        <f>SUM(E45:E48)</f>
        <v>1613.5459774252613</v>
      </c>
      <c r="F49" s="248">
        <f>SUM(F45:F48)</f>
        <v>1551.9211187061715</v>
      </c>
      <c r="G49" s="248">
        <f>SUM(G45:G48)</f>
        <v>1242.9142943156025</v>
      </c>
      <c r="H49" s="248">
        <f>SUM(H45:H48)</f>
        <v>848.69676819429571</v>
      </c>
      <c r="I49" s="248">
        <f>SUM(D49:H49)</f>
        <v>6807.5130201063266</v>
      </c>
      <c r="J49" s="66"/>
      <c r="K49" s="66"/>
      <c r="L49" s="66"/>
    </row>
    <row r="50" spans="1:15">
      <c r="A50" s="1"/>
      <c r="B50" s="286"/>
      <c r="C50" s="221"/>
      <c r="D50" s="377"/>
      <c r="E50" s="377"/>
      <c r="F50" s="377"/>
      <c r="G50" s="377"/>
      <c r="H50" s="377"/>
      <c r="I50" s="248"/>
      <c r="J50" s="66"/>
      <c r="K50" s="66"/>
      <c r="L50" s="66"/>
    </row>
    <row r="51" spans="1:15">
      <c r="A51" s="221" t="s">
        <v>157</v>
      </c>
      <c r="B51" s="286" t="s">
        <v>40</v>
      </c>
      <c r="C51" s="221" t="s">
        <v>53</v>
      </c>
      <c r="D51" s="66">
        <f>'FD allowances'!$D$64</f>
        <v>135.88303211081504</v>
      </c>
      <c r="E51" s="66">
        <f>'FD allowances'!$D$64</f>
        <v>135.88303211081504</v>
      </c>
      <c r="F51" s="66">
        <f>'FD allowances'!$D$64</f>
        <v>135.88303211081504</v>
      </c>
      <c r="G51" s="66">
        <f>'FD allowances'!$D$64</f>
        <v>135.88303211081504</v>
      </c>
      <c r="H51" s="66">
        <f>'FD allowances'!$D$64</f>
        <v>135.88303211081504</v>
      </c>
      <c r="I51" s="66">
        <f>SUM(D51:H51)</f>
        <v>679.41516055407521</v>
      </c>
      <c r="J51" s="66"/>
      <c r="K51" s="66"/>
      <c r="L51" s="66"/>
    </row>
    <row r="52" spans="1:15">
      <c r="A52" s="221"/>
      <c r="B52" s="286"/>
      <c r="C52" s="221"/>
      <c r="D52" s="66"/>
      <c r="E52" s="66"/>
      <c r="F52" s="66"/>
      <c r="G52" s="66"/>
      <c r="H52" s="66"/>
      <c r="I52" s="66"/>
      <c r="J52" s="66"/>
      <c r="K52" s="66"/>
      <c r="L52" s="66"/>
    </row>
    <row r="53" spans="1:15">
      <c r="A53" s="221" t="s">
        <v>124</v>
      </c>
      <c r="B53" s="286" t="s">
        <v>40</v>
      </c>
      <c r="C53" s="221" t="s">
        <v>53</v>
      </c>
      <c r="D53" s="249">
        <f>'FD allowances'!D70</f>
        <v>169.98880583540969</v>
      </c>
      <c r="E53" s="249">
        <f>'FD allowances'!E70</f>
        <v>166.65569199549969</v>
      </c>
      <c r="F53" s="249">
        <f>'FD allowances'!F70</f>
        <v>163.38793332892126</v>
      </c>
      <c r="G53" s="249">
        <f>'FD allowances'!G70</f>
        <v>160.18424836168748</v>
      </c>
      <c r="H53" s="249">
        <f>'FD allowances'!H70</f>
        <v>157.04338074675246</v>
      </c>
      <c r="I53" s="249">
        <f>SUM(D53:H53)</f>
        <v>817.26006026827054</v>
      </c>
      <c r="J53" s="66"/>
      <c r="K53" s="66"/>
      <c r="L53" s="66"/>
    </row>
    <row r="54" spans="1:15">
      <c r="A54" s="1"/>
      <c r="B54" s="286"/>
      <c r="C54" s="221"/>
      <c r="D54" s="248"/>
      <c r="E54" s="248"/>
      <c r="F54" s="248"/>
      <c r="G54" s="248"/>
      <c r="H54" s="248"/>
      <c r="I54" s="248"/>
      <c r="J54" s="66"/>
      <c r="K54" s="66"/>
      <c r="L54" s="66"/>
    </row>
    <row r="55" spans="1:15">
      <c r="A55" s="1" t="s">
        <v>540</v>
      </c>
      <c r="B55" s="286" t="s">
        <v>40</v>
      </c>
      <c r="C55" s="221" t="s">
        <v>53</v>
      </c>
      <c r="D55" s="248">
        <f>D35+D42+D49+D51+D53</f>
        <v>25352.602462442646</v>
      </c>
      <c r="E55" s="248">
        <f t="shared" ref="E55:H55" si="8">E35+E42+E49+E51+E53</f>
        <v>26379.453592644422</v>
      </c>
      <c r="F55" s="248">
        <f t="shared" si="8"/>
        <v>26905.496343525603</v>
      </c>
      <c r="G55" s="248">
        <f t="shared" si="8"/>
        <v>26766.828882974616</v>
      </c>
      <c r="H55" s="248">
        <f t="shared" si="8"/>
        <v>19701.909541181969</v>
      </c>
      <c r="I55" s="248">
        <f>SUM(D55:H55)</f>
        <v>125106.29082276927</v>
      </c>
      <c r="J55" s="66"/>
      <c r="K55" s="66"/>
      <c r="L55" s="66"/>
    </row>
    <row r="57" spans="1:15">
      <c r="A57" s="1" t="s">
        <v>541</v>
      </c>
      <c r="D57" s="71"/>
      <c r="E57" s="71"/>
      <c r="F57" s="71"/>
      <c r="G57" s="71"/>
      <c r="H57" s="71"/>
      <c r="I57" s="71"/>
      <c r="M57" s="5"/>
      <c r="N57" s="5"/>
      <c r="O57" s="5"/>
    </row>
    <row r="58" spans="1:15">
      <c r="A58" s="285" t="s">
        <v>470</v>
      </c>
      <c r="B58" s="286" t="s">
        <v>40</v>
      </c>
      <c r="C58" s="285" t="s">
        <v>53</v>
      </c>
      <c r="D58" s="71">
        <f>'FD forecasts'!D44</f>
        <v>38715.457900000001</v>
      </c>
      <c r="E58" s="71">
        <f>'FD forecasts'!E44</f>
        <v>48472.437299999998</v>
      </c>
      <c r="F58" s="71">
        <f>'FD forecasts'!F44</f>
        <v>49722.842517651741</v>
      </c>
      <c r="G58" s="71">
        <f>'FD forecasts'!G44</f>
        <v>50013.491609453406</v>
      </c>
      <c r="H58" s="71">
        <f>'FD forecasts'!H44</f>
        <v>50296.457340743604</v>
      </c>
      <c r="I58" s="66">
        <f>SUM(D58:H58)</f>
        <v>237220.68666784873</v>
      </c>
      <c r="M58" s="5"/>
      <c r="N58" s="5"/>
      <c r="O58" s="5"/>
    </row>
    <row r="59" spans="1:15">
      <c r="A59" s="221" t="s">
        <v>475</v>
      </c>
      <c r="B59" s="286" t="s">
        <v>40</v>
      </c>
      <c r="C59" s="285" t="s">
        <v>53</v>
      </c>
      <c r="D59" s="71">
        <f>'FD forecasts'!D45</f>
        <v>39550</v>
      </c>
      <c r="E59" s="71">
        <f>'FD forecasts'!E45</f>
        <v>40049.999999999993</v>
      </c>
      <c r="F59" s="71">
        <f>'FD forecasts'!F45</f>
        <v>40249.999999999993</v>
      </c>
      <c r="G59" s="71">
        <f>'FD forecasts'!G45</f>
        <v>40300</v>
      </c>
      <c r="H59" s="71">
        <f>'FD forecasts'!H45</f>
        <v>40300</v>
      </c>
      <c r="I59" s="66">
        <f>SUM(D59:H59)</f>
        <v>200450</v>
      </c>
    </row>
    <row r="60" spans="1:15">
      <c r="A60" s="221" t="s">
        <v>497</v>
      </c>
      <c r="B60" s="286" t="s">
        <v>40</v>
      </c>
      <c r="C60" s="285" t="s">
        <v>53</v>
      </c>
      <c r="D60" s="71">
        <f>'FD forecasts'!D46</f>
        <v>30.318232044198904</v>
      </c>
      <c r="E60" s="71">
        <f>'FD forecasts'!E46</f>
        <v>30.318232044198901</v>
      </c>
      <c r="F60" s="71">
        <f>'FD forecasts'!F46</f>
        <v>30.318232044198904</v>
      </c>
      <c r="G60" s="71">
        <f>'FD forecasts'!G46</f>
        <v>30.318232044198904</v>
      </c>
      <c r="H60" s="71">
        <f>'FD forecasts'!H46</f>
        <v>30.318232044198908</v>
      </c>
      <c r="I60" s="66">
        <f t="shared" ref="I60" si="9">SUM(D60:H60)</f>
        <v>151.59116022099454</v>
      </c>
    </row>
    <row r="61" spans="1:15">
      <c r="A61" s="1" t="s">
        <v>20</v>
      </c>
      <c r="B61" s="286" t="s">
        <v>40</v>
      </c>
      <c r="C61" s="285" t="s">
        <v>53</v>
      </c>
      <c r="D61" s="295">
        <f>SUM(D58:D60)</f>
        <v>78295.776132044208</v>
      </c>
      <c r="E61" s="295">
        <f>SUM(E58:E60)</f>
        <v>88552.75553204419</v>
      </c>
      <c r="F61" s="295">
        <f>SUM(F58:F60)</f>
        <v>90003.160749695933</v>
      </c>
      <c r="G61" s="295">
        <f>SUM(G58:G60)</f>
        <v>90343.809841497598</v>
      </c>
      <c r="H61" s="295">
        <f>SUM(H58:H60)</f>
        <v>90626.775572787796</v>
      </c>
      <c r="I61" s="248">
        <f>SUM(D61:H61)</f>
        <v>437822.27782806969</v>
      </c>
    </row>
    <row r="62" spans="1:15">
      <c r="A62" s="221"/>
      <c r="B62" s="286"/>
      <c r="D62" s="71"/>
      <c r="E62" s="71"/>
      <c r="F62" s="71"/>
      <c r="G62" s="71"/>
      <c r="H62" s="71"/>
      <c r="I62" s="66"/>
      <c r="K62" s="71"/>
      <c r="L62" s="225"/>
    </row>
    <row r="63" spans="1:15">
      <c r="A63" s="221" t="s">
        <v>158</v>
      </c>
      <c r="B63" s="286" t="s">
        <v>40</v>
      </c>
      <c r="C63" s="221" t="s">
        <v>53</v>
      </c>
      <c r="D63" s="249">
        <f>'FD allowances'!$D$60*'FD forecasts'!D62</f>
        <v>641.63978950000001</v>
      </c>
      <c r="E63" s="249">
        <f>'FD allowances'!$D$60*'FD forecasts'!E62</f>
        <v>692.92468650000001</v>
      </c>
      <c r="F63" s="249">
        <f>'FD allowances'!$D$60*'FD forecasts'!F62</f>
        <v>700.17671258825874</v>
      </c>
      <c r="G63" s="249">
        <f>'FD allowances'!$D$60*'FD forecasts'!G62</f>
        <v>701.879958047267</v>
      </c>
      <c r="H63" s="249">
        <f>'FD allowances'!$D$60*'FD forecasts'!H62</f>
        <v>703.29478670371805</v>
      </c>
      <c r="I63" s="66">
        <f>SUM(D63:H63)</f>
        <v>3439.9159333392436</v>
      </c>
    </row>
    <row r="64" spans="1:15">
      <c r="A64" s="221"/>
      <c r="B64" s="286"/>
      <c r="D64" s="71"/>
      <c r="E64" s="71"/>
      <c r="F64" s="71"/>
      <c r="G64" s="71"/>
      <c r="H64" s="71"/>
      <c r="I64" s="66"/>
    </row>
    <row r="65" spans="1:9">
      <c r="A65" s="1" t="s">
        <v>507</v>
      </c>
      <c r="B65" s="286" t="s">
        <v>40</v>
      </c>
      <c r="C65" s="285" t="s">
        <v>53</v>
      </c>
      <c r="D65" s="295">
        <f>'FD forecasts'!D66</f>
        <v>0</v>
      </c>
      <c r="E65" s="295">
        <f>'FD forecasts'!E66</f>
        <v>0</v>
      </c>
      <c r="F65" s="295">
        <f>'FD forecasts'!F66</f>
        <v>0</v>
      </c>
      <c r="G65" s="295">
        <f>'FD forecasts'!G66</f>
        <v>0</v>
      </c>
      <c r="H65" s="295">
        <f>'FD forecasts'!H66</f>
        <v>0</v>
      </c>
      <c r="I65" s="66">
        <f t="shared" ref="I65:I67" si="10">SUM(D65:H65)</f>
        <v>0</v>
      </c>
    </row>
    <row r="66" spans="1:9">
      <c r="A66" s="1"/>
      <c r="B66" s="286"/>
      <c r="D66" s="295"/>
      <c r="E66" s="295"/>
      <c r="F66" s="295"/>
      <c r="G66" s="295"/>
      <c r="H66" s="295"/>
      <c r="I66" s="295"/>
    </row>
    <row r="67" spans="1:9">
      <c r="A67" s="1" t="s">
        <v>508</v>
      </c>
      <c r="B67" s="286" t="s">
        <v>40</v>
      </c>
      <c r="C67" s="285" t="s">
        <v>53</v>
      </c>
      <c r="D67" s="295">
        <f>'FD forecasts'!D70</f>
        <v>0</v>
      </c>
      <c r="E67" s="295">
        <f>'FD forecasts'!E70</f>
        <v>0</v>
      </c>
      <c r="F67" s="295">
        <f>'FD forecasts'!F70</f>
        <v>0</v>
      </c>
      <c r="G67" s="295">
        <f>'FD forecasts'!G70</f>
        <v>0</v>
      </c>
      <c r="H67" s="295">
        <f>'FD forecasts'!H70</f>
        <v>0</v>
      </c>
      <c r="I67" s="66">
        <f t="shared" si="10"/>
        <v>0</v>
      </c>
    </row>
    <row r="69" spans="1:9">
      <c r="A69" s="1" t="s">
        <v>539</v>
      </c>
      <c r="B69" s="286" t="s">
        <v>40</v>
      </c>
      <c r="C69" s="285" t="s">
        <v>53</v>
      </c>
      <c r="D69" s="295">
        <f>D55+D61+D63+D65+D67</f>
        <v>104290.01838398686</v>
      </c>
      <c r="E69" s="295">
        <f>E55+E61+E63+E65+E67</f>
        <v>115625.13381118861</v>
      </c>
      <c r="F69" s="295">
        <f>F55+F61+F63+F65+F67</f>
        <v>117608.8338058098</v>
      </c>
      <c r="G69" s="295">
        <f>G55+G61+G63+G65+G67</f>
        <v>117812.51868251948</v>
      </c>
      <c r="H69" s="295">
        <f>H55+H61+H63+H65+H67</f>
        <v>111031.97990067348</v>
      </c>
      <c r="I69" s="248">
        <f>SUM(D69:H69)</f>
        <v>566368.48458417819</v>
      </c>
    </row>
    <row r="70" spans="1:9">
      <c r="A70" s="221"/>
      <c r="B70" s="286"/>
      <c r="D70" s="71"/>
      <c r="E70" s="71"/>
      <c r="F70" s="71"/>
      <c r="G70" s="71"/>
      <c r="H70" s="71"/>
      <c r="I70" s="66"/>
    </row>
    <row r="71" spans="1:9">
      <c r="D71" s="295"/>
      <c r="E71" s="295"/>
      <c r="F71" s="295"/>
      <c r="G71" s="295"/>
      <c r="H71" s="295"/>
      <c r="I71" s="295"/>
    </row>
    <row r="72" spans="1:9">
      <c r="D72" s="295"/>
      <c r="E72" s="295"/>
      <c r="F72" s="295"/>
      <c r="G72" s="295"/>
      <c r="H72" s="295"/>
      <c r="I72" s="295"/>
    </row>
    <row r="74" spans="1:9">
      <c r="D74" s="71"/>
      <c r="E74" s="71"/>
      <c r="F74" s="71"/>
      <c r="G74" s="71"/>
      <c r="H74" s="71"/>
      <c r="I74" s="71"/>
    </row>
    <row r="91" spans="11:12">
      <c r="K91" s="66"/>
      <c r="L91" s="66"/>
    </row>
    <row r="92" spans="11:12">
      <c r="K92" s="66"/>
      <c r="L92" s="66"/>
    </row>
    <row r="93" spans="11:12">
      <c r="K93" s="66"/>
      <c r="L93" s="66"/>
    </row>
    <row r="94" spans="11:12">
      <c r="K94" s="66"/>
      <c r="L94" s="66"/>
    </row>
    <row r="95" spans="11:12">
      <c r="K95" s="66"/>
      <c r="L95" s="66"/>
    </row>
    <row r="96" spans="11:12">
      <c r="K96" s="66"/>
      <c r="L96" s="66"/>
    </row>
    <row r="97" spans="11:12">
      <c r="K97" s="66"/>
      <c r="L97" s="66"/>
    </row>
    <row r="98" spans="11:12">
      <c r="K98" s="66"/>
      <c r="L98" s="66"/>
    </row>
    <row r="99" spans="11:12">
      <c r="K99" s="66"/>
      <c r="L99" s="66"/>
    </row>
    <row r="100" spans="11:12">
      <c r="K100" s="66"/>
      <c r="L100" s="66"/>
    </row>
    <row r="101" spans="11:12">
      <c r="K101" s="66"/>
      <c r="L101" s="66"/>
    </row>
    <row r="102" spans="11:12">
      <c r="K102" s="66"/>
      <c r="L102" s="66"/>
    </row>
    <row r="103" spans="11:12">
      <c r="K103" s="66"/>
      <c r="L103" s="66"/>
    </row>
    <row r="104" spans="11:12">
      <c r="K104" s="66"/>
      <c r="L104" s="66"/>
    </row>
    <row r="105" spans="11:12">
      <c r="K105" s="66"/>
      <c r="L105" s="66"/>
    </row>
    <row r="106" spans="11:12">
      <c r="K106" s="66"/>
      <c r="L106" s="66"/>
    </row>
    <row r="107" spans="11:12">
      <c r="K107" s="66"/>
      <c r="L107" s="66"/>
    </row>
    <row r="108" spans="11:12">
      <c r="K108" s="66"/>
      <c r="L108" s="66"/>
    </row>
    <row r="109" spans="11:12">
      <c r="K109" s="66"/>
      <c r="L109" s="66"/>
    </row>
    <row r="110" spans="11:12">
      <c r="K110" s="66"/>
      <c r="L110" s="66"/>
    </row>
    <row r="111" spans="11:12">
      <c r="K111" s="66"/>
      <c r="L111" s="66"/>
    </row>
    <row r="112" spans="11:12">
      <c r="K112" s="66"/>
      <c r="L112" s="66"/>
    </row>
    <row r="113" spans="1:12">
      <c r="K113" s="66"/>
      <c r="L113" s="66"/>
    </row>
    <row r="114" spans="1:12">
      <c r="K114" s="66"/>
      <c r="L114" s="66"/>
    </row>
    <row r="115" spans="1:12">
      <c r="K115" s="66"/>
      <c r="L115" s="66"/>
    </row>
    <row r="116" spans="1:12">
      <c r="K116" s="66"/>
      <c r="L116" s="66"/>
    </row>
    <row r="117" spans="1:12">
      <c r="J117" s="66"/>
      <c r="K117" s="66"/>
      <c r="L117" s="66"/>
    </row>
    <row r="118" spans="1:12">
      <c r="J118" s="66"/>
      <c r="K118" s="66"/>
      <c r="L118" s="66"/>
    </row>
    <row r="119" spans="1:12">
      <c r="J119" s="66"/>
      <c r="K119" s="66"/>
      <c r="L119" s="66"/>
    </row>
    <row r="120" spans="1:12">
      <c r="J120" s="66"/>
      <c r="K120" s="66"/>
      <c r="L120" s="66"/>
    </row>
    <row r="121" spans="1:12">
      <c r="J121" s="66"/>
      <c r="K121" s="66"/>
      <c r="L121" s="66"/>
    </row>
    <row r="122" spans="1:12">
      <c r="J122" s="66"/>
      <c r="K122" s="66"/>
      <c r="L122" s="66"/>
    </row>
    <row r="123" spans="1:12">
      <c r="J123" s="66"/>
      <c r="K123" s="66"/>
      <c r="L123" s="66"/>
    </row>
    <row r="124" spans="1:12">
      <c r="J124" s="66"/>
      <c r="K124" s="66"/>
      <c r="L124" s="66"/>
    </row>
    <row r="125" spans="1:12">
      <c r="J125" s="66"/>
      <c r="K125" s="66"/>
      <c r="L125" s="66"/>
    </row>
    <row r="126" spans="1:12">
      <c r="J126" s="66"/>
      <c r="K126" s="66"/>
      <c r="L126" s="66"/>
    </row>
    <row r="127" spans="1:12">
      <c r="A127" s="221"/>
      <c r="B127" s="286"/>
      <c r="J127" s="66"/>
      <c r="K127" s="66"/>
      <c r="L127" s="66"/>
    </row>
    <row r="128" spans="1:12">
      <c r="A128" s="221"/>
      <c r="B128" s="286"/>
      <c r="J128" s="66"/>
      <c r="K128" s="66"/>
      <c r="L128" s="66"/>
    </row>
    <row r="129" spans="1:12">
      <c r="A129" s="221"/>
      <c r="B129" s="286"/>
      <c r="J129" s="66"/>
      <c r="K129" s="66"/>
      <c r="L129" s="66"/>
    </row>
    <row r="132" spans="1:12">
      <c r="F132" s="285" t="s">
        <v>583</v>
      </c>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65C6A-2FE6-441F-823E-A1ECAD8E9B08}">
  <sheetPr>
    <tabColor theme="8" tint="0.59999389629810485"/>
  </sheetPr>
  <dimension ref="A1:W169"/>
  <sheetViews>
    <sheetView showGridLines="0" zoomScale="70" zoomScaleNormal="70" workbookViewId="0"/>
  </sheetViews>
  <sheetFormatPr defaultColWidth="8.6640625" defaultRowHeight="14.25"/>
  <cols>
    <col min="1" max="1" width="70" style="285" customWidth="1"/>
    <col min="2" max="2" width="42.1328125" style="285" customWidth="1"/>
    <col min="3" max="3" width="16.6640625" style="285" customWidth="1"/>
    <col min="4" max="9" width="14" style="285" bestFit="1" customWidth="1"/>
    <col min="10" max="16384" width="8.6640625" style="285"/>
  </cols>
  <sheetData>
    <row r="1" spans="1:23" ht="18">
      <c r="A1" s="256" t="s">
        <v>595</v>
      </c>
      <c r="B1" s="257"/>
    </row>
    <row r="3" spans="1:23" ht="18">
      <c r="A3" s="316" t="s">
        <v>584</v>
      </c>
      <c r="B3" s="247" t="s">
        <v>10</v>
      </c>
      <c r="C3" s="247" t="s">
        <v>11</v>
      </c>
      <c r="D3" s="245" t="s">
        <v>5</v>
      </c>
      <c r="E3" s="245" t="s">
        <v>6</v>
      </c>
      <c r="F3" s="245" t="s">
        <v>7</v>
      </c>
      <c r="G3" s="245" t="s">
        <v>8</v>
      </c>
      <c r="H3" s="245" t="s">
        <v>9</v>
      </c>
      <c r="I3" s="246" t="s">
        <v>20</v>
      </c>
      <c r="K3" s="245"/>
      <c r="L3" s="245"/>
      <c r="M3" s="245"/>
      <c r="N3" s="245"/>
      <c r="O3" s="245"/>
      <c r="P3" s="246"/>
    </row>
    <row r="4" spans="1:23">
      <c r="A4" s="1" t="s">
        <v>587</v>
      </c>
    </row>
    <row r="5" spans="1:23">
      <c r="A5" s="221" t="s">
        <v>491</v>
      </c>
      <c r="B5" s="232" t="s">
        <v>40</v>
      </c>
      <c r="C5" s="221" t="s">
        <v>53</v>
      </c>
      <c r="D5" s="324">
        <f>'Regulated revenue'!D35</f>
        <v>16770.099463783605</v>
      </c>
      <c r="E5" s="324">
        <f>'Regulated revenue'!E35</f>
        <v>16971.222702283521</v>
      </c>
      <c r="F5" s="324">
        <f>'Regulated revenue'!F35</f>
        <v>16969.441141409952</v>
      </c>
      <c r="G5" s="324">
        <f>'Regulated revenue'!G35</f>
        <v>16816.479473543386</v>
      </c>
      <c r="H5" s="324">
        <f>'Regulated revenue'!H35</f>
        <v>15131.011302668277</v>
      </c>
      <c r="I5" s="66">
        <f t="shared" ref="I5:I15" si="0">SUM(D5:H5)</f>
        <v>82658.254083688749</v>
      </c>
      <c r="K5" s="324"/>
      <c r="L5" s="324"/>
      <c r="M5" s="324"/>
      <c r="N5" s="324"/>
      <c r="O5" s="324"/>
      <c r="P5" s="66"/>
      <c r="R5" s="255"/>
      <c r="S5" s="255"/>
      <c r="T5" s="255"/>
      <c r="U5" s="255"/>
      <c r="V5" s="255"/>
      <c r="W5" s="255"/>
    </row>
    <row r="6" spans="1:23">
      <c r="A6" s="221" t="s">
        <v>592</v>
      </c>
      <c r="B6" s="232" t="s">
        <v>40</v>
      </c>
      <c r="C6" s="221" t="s">
        <v>53</v>
      </c>
      <c r="D6" s="324">
        <f>'Regulated revenue'!D42</f>
        <v>6726.1962992478202</v>
      </c>
      <c r="E6" s="324">
        <f>'Regulated revenue'!E42</f>
        <v>7492.146188829327</v>
      </c>
      <c r="F6" s="324">
        <f>'Regulated revenue'!F42</f>
        <v>8084.8631179697441</v>
      </c>
      <c r="G6" s="324">
        <f>'Regulated revenue'!G42</f>
        <v>8411.3678346431225</v>
      </c>
      <c r="H6" s="324">
        <f>'Regulated revenue'!H42</f>
        <v>3429.2750574618308</v>
      </c>
      <c r="I6" s="66">
        <f t="shared" si="0"/>
        <v>34143.848498151841</v>
      </c>
      <c r="J6" s="66"/>
      <c r="K6" s="324"/>
      <c r="L6" s="324"/>
      <c r="M6" s="324"/>
      <c r="N6" s="324"/>
      <c r="O6" s="324"/>
      <c r="P6" s="66"/>
      <c r="R6" s="255"/>
      <c r="S6" s="255"/>
      <c r="T6" s="255"/>
      <c r="U6" s="255"/>
      <c r="V6" s="255"/>
      <c r="W6" s="255"/>
    </row>
    <row r="7" spans="1:23">
      <c r="A7" s="221" t="s">
        <v>496</v>
      </c>
      <c r="B7" s="232" t="s">
        <v>40</v>
      </c>
      <c r="C7" s="221" t="s">
        <v>53</v>
      </c>
      <c r="D7" s="324">
        <f>'Regulated revenue'!D49</f>
        <v>1550.4348614649955</v>
      </c>
      <c r="E7" s="324">
        <f>'Regulated revenue'!E49</f>
        <v>1613.5459774252613</v>
      </c>
      <c r="F7" s="324">
        <f>'Regulated revenue'!F49</f>
        <v>1551.9211187061715</v>
      </c>
      <c r="G7" s="324">
        <f>'Regulated revenue'!G49</f>
        <v>1242.9142943156025</v>
      </c>
      <c r="H7" s="324">
        <f>'Regulated revenue'!H49</f>
        <v>848.69676819429571</v>
      </c>
      <c r="I7" s="66">
        <f t="shared" si="0"/>
        <v>6807.5130201063266</v>
      </c>
      <c r="J7" s="66"/>
      <c r="K7" s="324"/>
      <c r="L7" s="324"/>
      <c r="M7" s="324"/>
      <c r="N7" s="324"/>
      <c r="O7" s="324"/>
      <c r="P7" s="66"/>
      <c r="R7" s="255"/>
      <c r="S7" s="255"/>
      <c r="T7" s="255"/>
      <c r="U7" s="255"/>
      <c r="V7" s="255"/>
      <c r="W7" s="255"/>
    </row>
    <row r="8" spans="1:23">
      <c r="A8" s="285" t="s">
        <v>157</v>
      </c>
      <c r="B8" s="286" t="s">
        <v>40</v>
      </c>
      <c r="C8" s="221" t="s">
        <v>53</v>
      </c>
      <c r="D8" s="321">
        <f>'Regulated revenue'!D51</f>
        <v>135.88303211081504</v>
      </c>
      <c r="E8" s="321">
        <f>'Regulated revenue'!E51</f>
        <v>135.88303211081504</v>
      </c>
      <c r="F8" s="321">
        <f>'Regulated revenue'!F51</f>
        <v>135.88303211081504</v>
      </c>
      <c r="G8" s="321">
        <f>'Regulated revenue'!G51</f>
        <v>135.88303211081504</v>
      </c>
      <c r="H8" s="321">
        <f>'Regulated revenue'!H51</f>
        <v>135.88303211081504</v>
      </c>
      <c r="I8" s="66">
        <f t="shared" si="0"/>
        <v>679.41516055407521</v>
      </c>
      <c r="J8" s="225"/>
      <c r="K8" s="378"/>
      <c r="L8" s="321"/>
      <c r="M8" s="321"/>
      <c r="N8" s="321"/>
      <c r="O8" s="321"/>
      <c r="P8" s="66"/>
      <c r="R8" s="255"/>
      <c r="S8" s="255"/>
      <c r="T8" s="255"/>
      <c r="U8" s="255"/>
      <c r="V8" s="255"/>
      <c r="W8" s="255"/>
    </row>
    <row r="9" spans="1:23">
      <c r="A9" s="285" t="s">
        <v>124</v>
      </c>
      <c r="B9" s="286" t="s">
        <v>40</v>
      </c>
      <c r="C9" s="221" t="s">
        <v>53</v>
      </c>
      <c r="D9" s="321">
        <f>'Regulated revenue'!D53</f>
        <v>169.98880583540969</v>
      </c>
      <c r="E9" s="321">
        <f>'Regulated revenue'!E53</f>
        <v>166.65569199549969</v>
      </c>
      <c r="F9" s="321">
        <f>'Regulated revenue'!F53</f>
        <v>163.38793332892126</v>
      </c>
      <c r="G9" s="321">
        <f>'Regulated revenue'!G53</f>
        <v>160.18424836168748</v>
      </c>
      <c r="H9" s="321">
        <f>'Regulated revenue'!H53</f>
        <v>157.04338074675246</v>
      </c>
      <c r="I9" s="66">
        <f t="shared" si="0"/>
        <v>817.26006026827054</v>
      </c>
      <c r="K9" s="321"/>
      <c r="L9" s="321"/>
      <c r="M9" s="321"/>
      <c r="N9" s="321"/>
      <c r="O9" s="321"/>
      <c r="P9" s="66"/>
      <c r="R9" s="255"/>
      <c r="S9" s="255"/>
      <c r="T9" s="255"/>
      <c r="U9" s="255"/>
      <c r="V9" s="255"/>
      <c r="W9" s="255"/>
    </row>
    <row r="10" spans="1:23">
      <c r="A10" s="285" t="s">
        <v>470</v>
      </c>
      <c r="B10" s="286" t="s">
        <v>40</v>
      </c>
      <c r="C10" s="285" t="s">
        <v>53</v>
      </c>
      <c r="D10" s="321">
        <f>'Regulated revenue'!D58</f>
        <v>38715.457900000001</v>
      </c>
      <c r="E10" s="321">
        <f>'Regulated revenue'!E58</f>
        <v>48472.437299999998</v>
      </c>
      <c r="F10" s="321">
        <f>'Regulated revenue'!F58</f>
        <v>49722.842517651741</v>
      </c>
      <c r="G10" s="321">
        <f>'Regulated revenue'!G58</f>
        <v>50013.491609453406</v>
      </c>
      <c r="H10" s="321">
        <f>'Regulated revenue'!H58</f>
        <v>50296.457340743604</v>
      </c>
      <c r="I10" s="66">
        <f t="shared" si="0"/>
        <v>237220.68666784873</v>
      </c>
      <c r="K10" s="321"/>
      <c r="L10" s="321"/>
      <c r="M10" s="321"/>
      <c r="N10" s="321"/>
      <c r="O10" s="321"/>
      <c r="P10" s="66"/>
      <c r="R10" s="255"/>
      <c r="S10" s="255"/>
      <c r="T10" s="255"/>
      <c r="U10" s="255"/>
      <c r="V10" s="255"/>
      <c r="W10" s="255"/>
    </row>
    <row r="11" spans="1:23">
      <c r="A11" s="221" t="s">
        <v>475</v>
      </c>
      <c r="B11" s="286" t="s">
        <v>40</v>
      </c>
      <c r="C11" s="285" t="s">
        <v>53</v>
      </c>
      <c r="D11" s="321">
        <f>'Regulated revenue'!D59</f>
        <v>39550</v>
      </c>
      <c r="E11" s="321">
        <f>'Regulated revenue'!E59</f>
        <v>40049.999999999993</v>
      </c>
      <c r="F11" s="321">
        <f>'Regulated revenue'!F59</f>
        <v>40249.999999999993</v>
      </c>
      <c r="G11" s="321">
        <f>'Regulated revenue'!G59</f>
        <v>40300</v>
      </c>
      <c r="H11" s="321">
        <f>'Regulated revenue'!H59</f>
        <v>40300</v>
      </c>
      <c r="I11" s="66">
        <f t="shared" si="0"/>
        <v>200450</v>
      </c>
      <c r="K11" s="321"/>
      <c r="L11" s="321"/>
      <c r="M11" s="321"/>
      <c r="N11" s="321"/>
      <c r="O11" s="321"/>
      <c r="P11" s="66"/>
      <c r="R11" s="255"/>
      <c r="S11" s="255"/>
      <c r="T11" s="255"/>
      <c r="U11" s="255"/>
      <c r="V11" s="255"/>
      <c r="W11" s="255"/>
    </row>
    <row r="12" spans="1:23">
      <c r="A12" s="221" t="s">
        <v>497</v>
      </c>
      <c r="B12" s="286" t="s">
        <v>40</v>
      </c>
      <c r="C12" s="285" t="s">
        <v>53</v>
      </c>
      <c r="D12" s="321">
        <f>'Regulated revenue'!D60</f>
        <v>30.318232044198904</v>
      </c>
      <c r="E12" s="321">
        <f>'Regulated revenue'!E60</f>
        <v>30.318232044198901</v>
      </c>
      <c r="F12" s="321">
        <f>'Regulated revenue'!F60</f>
        <v>30.318232044198904</v>
      </c>
      <c r="G12" s="321">
        <f>'Regulated revenue'!G60</f>
        <v>30.318232044198904</v>
      </c>
      <c r="H12" s="321">
        <f>'Regulated revenue'!H60</f>
        <v>30.318232044198908</v>
      </c>
      <c r="I12" s="66">
        <f t="shared" si="0"/>
        <v>151.59116022099454</v>
      </c>
      <c r="K12" s="321"/>
      <c r="L12" s="321"/>
      <c r="M12" s="321"/>
      <c r="N12" s="321"/>
      <c r="O12" s="321"/>
      <c r="P12" s="66"/>
      <c r="R12" s="255"/>
      <c r="S12" s="255"/>
      <c r="T12" s="255"/>
      <c r="U12" s="255"/>
      <c r="V12" s="255"/>
      <c r="W12" s="255"/>
    </row>
    <row r="13" spans="1:23">
      <c r="A13" s="221" t="s">
        <v>158</v>
      </c>
      <c r="B13" s="286" t="s">
        <v>40</v>
      </c>
      <c r="C13" s="221" t="s">
        <v>53</v>
      </c>
      <c r="D13" s="321">
        <f>'Regulated revenue'!D63</f>
        <v>641.63978950000001</v>
      </c>
      <c r="E13" s="321">
        <f>'Regulated revenue'!E63</f>
        <v>692.92468650000001</v>
      </c>
      <c r="F13" s="321">
        <f>'Regulated revenue'!F63</f>
        <v>700.17671258825874</v>
      </c>
      <c r="G13" s="321">
        <f>'Regulated revenue'!G63</f>
        <v>701.879958047267</v>
      </c>
      <c r="H13" s="321">
        <f>'Regulated revenue'!H63</f>
        <v>703.29478670371805</v>
      </c>
      <c r="I13" s="66">
        <f t="shared" si="0"/>
        <v>3439.9159333392436</v>
      </c>
      <c r="K13" s="321"/>
      <c r="L13" s="321"/>
      <c r="M13" s="321"/>
      <c r="N13" s="321"/>
      <c r="O13" s="321"/>
      <c r="P13" s="66"/>
      <c r="R13" s="255"/>
      <c r="S13" s="255"/>
      <c r="T13" s="255"/>
      <c r="U13" s="255"/>
      <c r="V13" s="255"/>
      <c r="W13" s="255"/>
    </row>
    <row r="14" spans="1:23">
      <c r="A14" s="221" t="s">
        <v>507</v>
      </c>
      <c r="B14" s="232" t="s">
        <v>40</v>
      </c>
      <c r="C14" s="221" t="s">
        <v>53</v>
      </c>
      <c r="D14" s="321">
        <f>'Regulated revenue'!D65</f>
        <v>0</v>
      </c>
      <c r="E14" s="321">
        <f>'Regulated revenue'!E65</f>
        <v>0</v>
      </c>
      <c r="F14" s="321">
        <f>'Regulated revenue'!F65</f>
        <v>0</v>
      </c>
      <c r="G14" s="321">
        <f>'Regulated revenue'!G65</f>
        <v>0</v>
      </c>
      <c r="H14" s="321">
        <f>'Regulated revenue'!H65</f>
        <v>0</v>
      </c>
      <c r="I14" s="66">
        <f t="shared" si="0"/>
        <v>0</v>
      </c>
      <c r="K14" s="321"/>
      <c r="L14" s="321"/>
      <c r="M14" s="321"/>
      <c r="N14" s="321"/>
      <c r="O14" s="321"/>
      <c r="P14" s="66"/>
      <c r="R14" s="255"/>
      <c r="S14" s="255"/>
      <c r="T14" s="255"/>
      <c r="U14" s="255"/>
      <c r="V14" s="255"/>
      <c r="W14" s="255"/>
    </row>
    <row r="15" spans="1:23">
      <c r="A15" s="221" t="s">
        <v>508</v>
      </c>
      <c r="B15" s="232" t="s">
        <v>40</v>
      </c>
      <c r="C15" s="221" t="s">
        <v>53</v>
      </c>
      <c r="D15" s="321">
        <f>'Regulated revenue'!D67</f>
        <v>0</v>
      </c>
      <c r="E15" s="321">
        <f>'Regulated revenue'!E67</f>
        <v>0</v>
      </c>
      <c r="F15" s="321">
        <f>'Regulated revenue'!F67</f>
        <v>0</v>
      </c>
      <c r="G15" s="321">
        <f>'Regulated revenue'!G67</f>
        <v>0</v>
      </c>
      <c r="H15" s="321">
        <f>'Regulated revenue'!H67</f>
        <v>0</v>
      </c>
      <c r="I15" s="66">
        <f t="shared" si="0"/>
        <v>0</v>
      </c>
      <c r="K15" s="321"/>
      <c r="L15" s="321"/>
      <c r="M15" s="321"/>
      <c r="N15" s="321"/>
      <c r="O15" s="321"/>
      <c r="P15" s="66"/>
      <c r="R15" s="255"/>
      <c r="S15" s="255"/>
      <c r="T15" s="255"/>
      <c r="U15" s="255"/>
      <c r="V15" s="255"/>
      <c r="W15" s="255"/>
    </row>
    <row r="16" spans="1:23">
      <c r="A16" s="1" t="s">
        <v>20</v>
      </c>
      <c r="B16" s="286" t="s">
        <v>40</v>
      </c>
      <c r="C16" s="285" t="s">
        <v>53</v>
      </c>
      <c r="D16" s="323">
        <f t="shared" ref="D16:I16" si="1">SUM(D5:D15)</f>
        <v>104290.01838398684</v>
      </c>
      <c r="E16" s="323">
        <f t="shared" si="1"/>
        <v>115625.13381118861</v>
      </c>
      <c r="F16" s="323">
        <f t="shared" si="1"/>
        <v>117608.83380580979</v>
      </c>
      <c r="G16" s="323">
        <f t="shared" si="1"/>
        <v>117812.5186825195</v>
      </c>
      <c r="H16" s="323">
        <f t="shared" si="1"/>
        <v>111031.97990067348</v>
      </c>
      <c r="I16" s="323">
        <f t="shared" si="1"/>
        <v>566368.48458417831</v>
      </c>
      <c r="K16" s="323"/>
      <c r="L16" s="323"/>
      <c r="M16" s="323"/>
      <c r="N16" s="323"/>
      <c r="O16" s="323"/>
      <c r="P16" s="323"/>
      <c r="R16" s="255"/>
      <c r="S16" s="255"/>
      <c r="T16" s="255"/>
      <c r="U16" s="255"/>
      <c r="V16" s="255"/>
      <c r="W16" s="255"/>
    </row>
    <row r="17" spans="1:13">
      <c r="A17" s="221"/>
      <c r="B17" s="286"/>
      <c r="D17" s="71"/>
      <c r="E17" s="71"/>
      <c r="F17" s="71"/>
      <c r="G17" s="71"/>
      <c r="H17" s="71"/>
      <c r="I17" s="66"/>
    </row>
    <row r="18" spans="1:13">
      <c r="A18" s="1" t="s">
        <v>542</v>
      </c>
      <c r="B18" s="286"/>
      <c r="D18" s="71"/>
      <c r="E18" s="71"/>
      <c r="F18" s="71"/>
      <c r="G18" s="71"/>
      <c r="H18" s="71"/>
      <c r="I18" s="66"/>
    </row>
    <row r="19" spans="1:13">
      <c r="A19" s="221" t="s">
        <v>476</v>
      </c>
      <c r="B19" s="286" t="s">
        <v>40</v>
      </c>
      <c r="C19" s="285" t="s">
        <v>53</v>
      </c>
      <c r="D19" s="321">
        <f>'FD forecasts'!D52</f>
        <v>5378.4543646408856</v>
      </c>
      <c r="E19" s="321">
        <f>'FD forecasts'!E52</f>
        <v>5378.4543646408847</v>
      </c>
      <c r="F19" s="321">
        <f>'FD forecasts'!F52</f>
        <v>5378.4543646408847</v>
      </c>
      <c r="G19" s="321">
        <f>'FD forecasts'!G52</f>
        <v>5378.4543646408847</v>
      </c>
      <c r="H19" s="321">
        <f>'FD forecasts'!H52</f>
        <v>5378.4543646408856</v>
      </c>
      <c r="I19" s="66">
        <f>SUM(D19:H19)</f>
        <v>26892.271823204428</v>
      </c>
    </row>
    <row r="20" spans="1:13">
      <c r="A20" s="232" t="s">
        <v>477</v>
      </c>
      <c r="B20" s="286" t="s">
        <v>40</v>
      </c>
      <c r="C20" s="286" t="s">
        <v>53</v>
      </c>
      <c r="D20" s="325">
        <f>'FD forecasts'!D49</f>
        <v>808.48618784530402</v>
      </c>
      <c r="E20" s="325">
        <f>'FD forecasts'!E49</f>
        <v>808.48618784530402</v>
      </c>
      <c r="F20" s="325">
        <f>'FD forecasts'!F49</f>
        <v>808.48618784530402</v>
      </c>
      <c r="G20" s="325">
        <f>'FD forecasts'!G49</f>
        <v>808.48618784530402</v>
      </c>
      <c r="H20" s="325">
        <f>'FD forecasts'!H49</f>
        <v>808.48618784530402</v>
      </c>
      <c r="I20" s="249">
        <f>SUM(D20:H20)</f>
        <v>4042.43093922652</v>
      </c>
    </row>
    <row r="21" spans="1:13">
      <c r="A21" s="1" t="s">
        <v>20</v>
      </c>
      <c r="B21" s="286" t="s">
        <v>40</v>
      </c>
      <c r="C21" s="285" t="s">
        <v>53</v>
      </c>
      <c r="D21" s="295">
        <f>SUM(D19:D20)</f>
        <v>6186.9405524861895</v>
      </c>
      <c r="E21" s="295">
        <f>SUM(E19:E20)</f>
        <v>6186.9405524861886</v>
      </c>
      <c r="F21" s="295">
        <f>SUM(F19:F20)</f>
        <v>6186.9405524861886</v>
      </c>
      <c r="G21" s="295">
        <f>SUM(G19:G20)</f>
        <v>6186.9405524861886</v>
      </c>
      <c r="H21" s="295">
        <f>SUM(H19:H20)</f>
        <v>6186.9405524861895</v>
      </c>
      <c r="I21" s="295">
        <f>SUM(I20:I20)</f>
        <v>4042.43093922652</v>
      </c>
    </row>
    <row r="22" spans="1:13">
      <c r="A22" s="1"/>
      <c r="B22" s="286"/>
      <c r="D22" s="295"/>
      <c r="E22" s="295"/>
      <c r="F22" s="295"/>
      <c r="G22" s="295"/>
      <c r="H22" s="295"/>
      <c r="I22" s="295"/>
    </row>
    <row r="23" spans="1:13">
      <c r="A23" s="1" t="s">
        <v>585</v>
      </c>
      <c r="B23" s="286" t="s">
        <v>40</v>
      </c>
      <c r="C23" s="285" t="s">
        <v>53</v>
      </c>
      <c r="D23" s="295">
        <f>D16+D21</f>
        <v>110476.95893647303</v>
      </c>
      <c r="E23" s="295">
        <f>E16+E21</f>
        <v>121812.07436367481</v>
      </c>
      <c r="F23" s="295">
        <f>F16+F21</f>
        <v>123795.77435829598</v>
      </c>
      <c r="G23" s="295">
        <f>G16+G21</f>
        <v>123999.45923500569</v>
      </c>
      <c r="H23" s="295">
        <f>H16+H21</f>
        <v>117218.92045315968</v>
      </c>
      <c r="I23" s="295">
        <f>SUM(D23:H23)</f>
        <v>597303.18734660919</v>
      </c>
      <c r="M23" s="71"/>
    </row>
    <row r="25" spans="1:13" ht="18">
      <c r="A25" s="316" t="s">
        <v>586</v>
      </c>
      <c r="B25" s="247" t="s">
        <v>10</v>
      </c>
      <c r="C25" s="247" t="s">
        <v>11</v>
      </c>
      <c r="D25" s="245" t="s">
        <v>5</v>
      </c>
      <c r="E25" s="245" t="s">
        <v>6</v>
      </c>
      <c r="F25" s="245" t="s">
        <v>7</v>
      </c>
      <c r="G25" s="245" t="s">
        <v>8</v>
      </c>
      <c r="H25" s="245" t="s">
        <v>9</v>
      </c>
      <c r="I25" s="246" t="s">
        <v>20</v>
      </c>
    </row>
    <row r="26" spans="1:13">
      <c r="A26" s="1" t="s">
        <v>491</v>
      </c>
    </row>
    <row r="27" spans="1:13">
      <c r="A27" s="221" t="s">
        <v>750</v>
      </c>
      <c r="B27" s="286" t="s">
        <v>40</v>
      </c>
      <c r="C27" s="285" t="s">
        <v>53</v>
      </c>
      <c r="D27" s="71">
        <f>'FD forecasts'!D15+'FD forecasts'!D20</f>
        <v>14957.935223109129</v>
      </c>
      <c r="E27" s="71">
        <f>'FD forecasts'!E15+'FD forecasts'!E20</f>
        <v>15160.157132282104</v>
      </c>
      <c r="F27" s="71">
        <f>'FD forecasts'!F15+'FD forecasts'!F20</f>
        <v>15258.209575046958</v>
      </c>
      <c r="G27" s="71">
        <f>'FD forecasts'!G15+'FD forecasts'!G20</f>
        <v>15712.538964482908</v>
      </c>
      <c r="H27" s="71">
        <f>'FD forecasts'!H15+'FD forecasts'!H20</f>
        <v>14171.60820326551</v>
      </c>
      <c r="I27" s="66">
        <f>SUM(D27:H27)</f>
        <v>75260.449098186611</v>
      </c>
    </row>
    <row r="28" spans="1:13">
      <c r="A28" s="221" t="s">
        <v>640</v>
      </c>
      <c r="B28" s="286" t="s">
        <v>40</v>
      </c>
      <c r="C28" s="285" t="s">
        <v>53</v>
      </c>
      <c r="D28" s="71">
        <f>'FD forecasts'!D24</f>
        <v>861</v>
      </c>
      <c r="E28" s="71">
        <f>'FD forecasts'!E24</f>
        <v>861</v>
      </c>
      <c r="F28" s="71">
        <f>'FD forecasts'!F24</f>
        <v>861</v>
      </c>
      <c r="G28" s="71">
        <f>'FD forecasts'!G24</f>
        <v>258.28571428571428</v>
      </c>
      <c r="H28" s="71">
        <f>'FD forecasts'!H24</f>
        <v>258.28571428571428</v>
      </c>
      <c r="I28" s="66">
        <f>SUM(D28:H28)</f>
        <v>3099.5714285714284</v>
      </c>
    </row>
    <row r="29" spans="1:13">
      <c r="A29" s="285" t="s">
        <v>751</v>
      </c>
      <c r="B29" s="286" t="s">
        <v>40</v>
      </c>
      <c r="C29" s="285" t="s">
        <v>53</v>
      </c>
      <c r="D29" s="71">
        <f>'FD forecasts'!D32</f>
        <v>951.16424067447781</v>
      </c>
      <c r="E29" s="71">
        <f>'FD forecasts'!E32</f>
        <v>950.06557000141879</v>
      </c>
      <c r="F29" s="71">
        <f>'FD forecasts'!F32</f>
        <v>950.23156636299495</v>
      </c>
      <c r="G29" s="71">
        <f>'FD forecasts'!G32</f>
        <v>945.65479477476515</v>
      </c>
      <c r="H29" s="71">
        <f>'FD forecasts'!H32</f>
        <v>801.11738511705266</v>
      </c>
      <c r="I29" s="66">
        <f>SUM(D29:H29)</f>
        <v>4598.2335569307088</v>
      </c>
    </row>
    <row r="30" spans="1:13">
      <c r="A30" s="1" t="s">
        <v>20</v>
      </c>
      <c r="B30" s="286" t="s">
        <v>40</v>
      </c>
      <c r="C30" s="285" t="s">
        <v>53</v>
      </c>
      <c r="D30" s="295">
        <f>SUM(D27:D29)</f>
        <v>16770.099463783608</v>
      </c>
      <c r="E30" s="295">
        <f>SUM(E27:E29)</f>
        <v>16971.222702283521</v>
      </c>
      <c r="F30" s="295">
        <f>SUM(F27:F29)</f>
        <v>17069.441141409952</v>
      </c>
      <c r="G30" s="295">
        <f>SUM(G27:G29)</f>
        <v>16916.479473543386</v>
      </c>
      <c r="H30" s="295">
        <f>SUM(H27:H29)</f>
        <v>15231.011302668277</v>
      </c>
      <c r="I30" s="248">
        <f>SUM(D30:H30)</f>
        <v>82958.254083688749</v>
      </c>
    </row>
    <row r="31" spans="1:13">
      <c r="D31" s="71"/>
    </row>
    <row r="32" spans="1:13">
      <c r="A32" s="1" t="s">
        <v>646</v>
      </c>
    </row>
    <row r="33" spans="1:13">
      <c r="A33" s="285" t="s">
        <v>470</v>
      </c>
      <c r="B33" s="286" t="s">
        <v>40</v>
      </c>
      <c r="C33" s="285" t="s">
        <v>53</v>
      </c>
      <c r="D33" s="71">
        <f>'FD forecasts'!D44</f>
        <v>38715.457900000001</v>
      </c>
      <c r="E33" s="71">
        <f>'FD forecasts'!E44</f>
        <v>48472.437299999998</v>
      </c>
      <c r="F33" s="71">
        <f>'FD forecasts'!F44</f>
        <v>49722.842517651741</v>
      </c>
      <c r="G33" s="71">
        <f>'FD forecasts'!G44</f>
        <v>50013.491609453406</v>
      </c>
      <c r="H33" s="71">
        <f>'FD forecasts'!H44</f>
        <v>50296.457340743604</v>
      </c>
      <c r="I33" s="66">
        <f t="shared" ref="I33:I38" si="2">SUM(D33:H33)</f>
        <v>237220.68666784873</v>
      </c>
    </row>
    <row r="34" spans="1:13">
      <c r="A34" s="221" t="s">
        <v>475</v>
      </c>
      <c r="B34" s="286" t="s">
        <v>40</v>
      </c>
      <c r="C34" s="285" t="s">
        <v>53</v>
      </c>
      <c r="D34" s="71">
        <f>'FD forecasts'!D45</f>
        <v>39550</v>
      </c>
      <c r="E34" s="71">
        <f>'FD forecasts'!E45</f>
        <v>40049.999999999993</v>
      </c>
      <c r="F34" s="71">
        <f>'FD forecasts'!F45</f>
        <v>40249.999999999993</v>
      </c>
      <c r="G34" s="71">
        <f>'FD forecasts'!G45</f>
        <v>40300</v>
      </c>
      <c r="H34" s="71">
        <f>'FD forecasts'!H45</f>
        <v>40300</v>
      </c>
      <c r="I34" s="66">
        <f t="shared" si="2"/>
        <v>200450</v>
      </c>
    </row>
    <row r="35" spans="1:13">
      <c r="A35" s="221" t="s">
        <v>478</v>
      </c>
      <c r="B35" s="286" t="s">
        <v>40</v>
      </c>
      <c r="C35" s="285" t="s">
        <v>53</v>
      </c>
      <c r="D35" s="71">
        <f>'FD forecasts'!D46</f>
        <v>30.318232044198904</v>
      </c>
      <c r="E35" s="71">
        <f>'FD forecasts'!E46</f>
        <v>30.318232044198901</v>
      </c>
      <c r="F35" s="71">
        <f>'FD forecasts'!F46</f>
        <v>30.318232044198904</v>
      </c>
      <c r="G35" s="71">
        <f>'FD forecasts'!G46</f>
        <v>30.318232044198904</v>
      </c>
      <c r="H35" s="71">
        <f>'FD forecasts'!H46</f>
        <v>30.318232044198908</v>
      </c>
      <c r="I35" s="66">
        <f t="shared" si="2"/>
        <v>151.59116022099454</v>
      </c>
    </row>
    <row r="36" spans="1:13">
      <c r="A36" s="221" t="s">
        <v>476</v>
      </c>
      <c r="B36" s="286" t="s">
        <v>40</v>
      </c>
      <c r="C36" s="285" t="s">
        <v>53</v>
      </c>
      <c r="D36" s="71">
        <f>'FD forecasts'!D56</f>
        <v>5378.4543646408856</v>
      </c>
      <c r="E36" s="71">
        <f>'FD forecasts'!E56</f>
        <v>5378.4543646408847</v>
      </c>
      <c r="F36" s="71">
        <f>'FD forecasts'!F56</f>
        <v>5378.4543646408847</v>
      </c>
      <c r="G36" s="71">
        <f>'FD forecasts'!G56</f>
        <v>5378.4543646408847</v>
      </c>
      <c r="H36" s="71">
        <f>'FD forecasts'!H56</f>
        <v>5378.4543646408856</v>
      </c>
      <c r="I36" s="66">
        <f t="shared" si="2"/>
        <v>26892.271823204428</v>
      </c>
    </row>
    <row r="37" spans="1:13">
      <c r="A37" s="232" t="s">
        <v>477</v>
      </c>
      <c r="B37" s="286" t="s">
        <v>40</v>
      </c>
      <c r="C37" s="285" t="s">
        <v>53</v>
      </c>
      <c r="D37" s="325">
        <f>'FD forecasts'!D55</f>
        <v>480.30111304589832</v>
      </c>
      <c r="E37" s="325">
        <f>'FD forecasts'!E55</f>
        <v>480.30111304589832</v>
      </c>
      <c r="F37" s="325">
        <f>'FD forecasts'!F55</f>
        <v>480.30111304589832</v>
      </c>
      <c r="G37" s="325">
        <f>'FD forecasts'!G55</f>
        <v>480.30111304589826</v>
      </c>
      <c r="H37" s="325">
        <f>'FD forecasts'!H55</f>
        <v>480.30111304589838</v>
      </c>
      <c r="I37" s="249">
        <f t="shared" si="2"/>
        <v>2401.5055652294918</v>
      </c>
    </row>
    <row r="38" spans="1:13">
      <c r="A38" s="1" t="s">
        <v>20</v>
      </c>
      <c r="B38" s="286" t="s">
        <v>40</v>
      </c>
      <c r="C38" s="285" t="s">
        <v>53</v>
      </c>
      <c r="D38" s="295">
        <f>SUM(D33:D37)</f>
        <v>84154.531609730999</v>
      </c>
      <c r="E38" s="295">
        <f>SUM(E33:E37)</f>
        <v>94411.511009730981</v>
      </c>
      <c r="F38" s="295">
        <f>SUM(F33:F37)</f>
        <v>95861.916227382724</v>
      </c>
      <c r="G38" s="295">
        <f>SUM(G33:G37)</f>
        <v>96202.565319184388</v>
      </c>
      <c r="H38" s="295">
        <f>SUM(H33:H37)</f>
        <v>96485.531050474587</v>
      </c>
      <c r="I38" s="248">
        <f t="shared" si="2"/>
        <v>467116.05521650368</v>
      </c>
      <c r="M38" s="71"/>
    </row>
    <row r="40" spans="1:13">
      <c r="A40" s="1" t="s">
        <v>499</v>
      </c>
    </row>
    <row r="41" spans="1:13">
      <c r="A41" s="285" t="s">
        <v>492</v>
      </c>
      <c r="B41" s="286" t="s">
        <v>40</v>
      </c>
      <c r="C41" s="285" t="s">
        <v>53</v>
      </c>
      <c r="D41" s="71">
        <f>'Regulated revenue'!D38</f>
        <v>131.82679215922394</v>
      </c>
      <c r="E41" s="71">
        <f>'Regulated revenue'!E38</f>
        <v>133.72679215922392</v>
      </c>
      <c r="F41" s="71">
        <f>'Regulated revenue'!F38</f>
        <v>134.87679215922395</v>
      </c>
      <c r="G41" s="71">
        <f>'Regulated revenue'!G38</f>
        <v>135.27679215922393</v>
      </c>
      <c r="H41" s="71">
        <f>'Regulated revenue'!H38</f>
        <v>135.67679215922396</v>
      </c>
      <c r="I41" s="66">
        <f t="shared" ref="I41:I45" si="3">SUM(D41:H41)</f>
        <v>671.38396079611971</v>
      </c>
    </row>
    <row r="42" spans="1:13">
      <c r="A42" s="221" t="s">
        <v>493</v>
      </c>
      <c r="B42" s="286" t="s">
        <v>40</v>
      </c>
      <c r="C42" s="285" t="s">
        <v>53</v>
      </c>
      <c r="D42" s="71">
        <f>'Regulated revenue'!D39</f>
        <v>1382.2451486636617</v>
      </c>
      <c r="E42" s="71">
        <f>'Regulated revenue'!E39</f>
        <v>2116.2950382451695</v>
      </c>
      <c r="F42" s="71">
        <f>'Regulated revenue'!F39</f>
        <v>2677.861967385586</v>
      </c>
      <c r="G42" s="71">
        <f>'Regulated revenue'!G39</f>
        <v>2973.9666840589643</v>
      </c>
      <c r="H42" s="71">
        <f>'Regulated revenue'!H39</f>
        <v>3143.5982653026067</v>
      </c>
      <c r="I42" s="66">
        <f t="shared" si="3"/>
        <v>12293.967103655988</v>
      </c>
    </row>
    <row r="43" spans="1:13">
      <c r="A43" s="285" t="s">
        <v>494</v>
      </c>
      <c r="B43" s="286" t="s">
        <v>40</v>
      </c>
      <c r="C43" s="285" t="s">
        <v>53</v>
      </c>
      <c r="D43" s="71">
        <f>'Regulated revenue'!D40</f>
        <v>5212.1243584249341</v>
      </c>
      <c r="E43" s="71">
        <f>'Regulated revenue'!E40</f>
        <v>5242.1243584249341</v>
      </c>
      <c r="F43" s="71">
        <f>'Regulated revenue'!F40</f>
        <v>5272.1243584249341</v>
      </c>
      <c r="G43" s="71">
        <f>'Regulated revenue'!G40</f>
        <v>5302.1243584249341</v>
      </c>
      <c r="H43" s="71">
        <f>'Regulated revenue'!H40</f>
        <v>150</v>
      </c>
      <c r="I43" s="66">
        <f t="shared" si="3"/>
        <v>21178.497433699737</v>
      </c>
    </row>
    <row r="44" spans="1:13">
      <c r="A44" s="285" t="s">
        <v>233</v>
      </c>
      <c r="B44" s="286" t="s">
        <v>40</v>
      </c>
      <c r="C44" s="285" t="s">
        <v>53</v>
      </c>
      <c r="D44" s="71">
        <f>'Regulated revenue'!D41</f>
        <v>0</v>
      </c>
      <c r="E44" s="71">
        <f>'Regulated revenue'!E41</f>
        <v>0</v>
      </c>
      <c r="F44" s="71">
        <f>'Regulated revenue'!F41</f>
        <v>0</v>
      </c>
      <c r="G44" s="71">
        <f>'Regulated revenue'!G41</f>
        <v>0</v>
      </c>
      <c r="H44" s="71">
        <f>'Regulated revenue'!H41</f>
        <v>0</v>
      </c>
      <c r="I44" s="66">
        <f t="shared" si="3"/>
        <v>0</v>
      </c>
    </row>
    <row r="45" spans="1:13">
      <c r="A45" s="1" t="s">
        <v>20</v>
      </c>
      <c r="B45" s="286" t="s">
        <v>40</v>
      </c>
      <c r="C45" s="285" t="s">
        <v>53</v>
      </c>
      <c r="D45" s="295">
        <f>'Regulated revenue'!D42</f>
        <v>6726.1962992478202</v>
      </c>
      <c r="E45" s="295">
        <f>'Regulated revenue'!E42</f>
        <v>7492.146188829327</v>
      </c>
      <c r="F45" s="295">
        <f>'Regulated revenue'!F42</f>
        <v>8084.8631179697441</v>
      </c>
      <c r="G45" s="295">
        <f>'Regulated revenue'!G42</f>
        <v>8411.3678346431225</v>
      </c>
      <c r="H45" s="295">
        <f>'Regulated revenue'!H42</f>
        <v>3429.2750574618308</v>
      </c>
      <c r="I45" s="248">
        <f t="shared" si="3"/>
        <v>34143.848498151841</v>
      </c>
    </row>
    <row r="47" spans="1:13">
      <c r="A47" s="1" t="s">
        <v>500</v>
      </c>
    </row>
    <row r="48" spans="1:13">
      <c r="A48" s="285" t="s">
        <v>500</v>
      </c>
      <c r="B48" s="286" t="s">
        <v>40</v>
      </c>
      <c r="C48" s="285" t="s">
        <v>53</v>
      </c>
      <c r="D48" s="71">
        <f>(WACC!$B$20)*WACC!$B$4*(Return!D10)</f>
        <v>425.80397761865106</v>
      </c>
      <c r="E48" s="71">
        <f>(WACC!$B$20)*WACC!$B$4*(Return!E10)</f>
        <v>443.13651113924095</v>
      </c>
      <c r="F48" s="71">
        <f>(WACC!$B$20)*WACC!$B$4*(Return!F10)</f>
        <v>426.21215616312685</v>
      </c>
      <c r="G48" s="71">
        <f>(WACC!$B$20)*WACC!$B$4*(Return!G10)</f>
        <v>341.34800726719283</v>
      </c>
      <c r="H48" s="71">
        <f>(WACC!$B$20)*WACC!$B$4*(Return!H10)</f>
        <v>233.0820008444349</v>
      </c>
      <c r="I48" s="71">
        <f>SUM(D48:H48)</f>
        <v>1869.5826530326467</v>
      </c>
    </row>
    <row r="49" spans="1:10">
      <c r="B49" s="286"/>
      <c r="D49" s="71"/>
      <c r="E49" s="71"/>
      <c r="F49" s="71"/>
      <c r="G49" s="71"/>
      <c r="H49" s="71"/>
      <c r="I49" s="71"/>
    </row>
    <row r="50" spans="1:10">
      <c r="B50" s="286"/>
      <c r="D50" s="71"/>
      <c r="E50" s="71"/>
      <c r="F50" s="71"/>
      <c r="G50" s="71"/>
      <c r="H50" s="71"/>
      <c r="I50" s="71"/>
    </row>
    <row r="52" spans="1:10" ht="18">
      <c r="A52" s="316" t="s">
        <v>305</v>
      </c>
      <c r="D52" s="71"/>
      <c r="E52" s="71"/>
      <c r="F52" s="71"/>
      <c r="G52" s="71"/>
      <c r="H52" s="71"/>
    </row>
    <row r="53" spans="1:10">
      <c r="A53" s="260"/>
      <c r="D53" s="255"/>
      <c r="E53" s="255"/>
      <c r="F53" s="255"/>
      <c r="G53" s="255"/>
      <c r="H53" s="255"/>
    </row>
    <row r="54" spans="1:10">
      <c r="A54" s="260"/>
      <c r="B54" s="247"/>
      <c r="C54" s="247"/>
      <c r="D54" s="245"/>
      <c r="E54" s="245"/>
      <c r="F54" s="245"/>
      <c r="G54" s="245"/>
      <c r="H54" s="245"/>
      <c r="I54" s="246"/>
    </row>
    <row r="55" spans="1:10">
      <c r="A55" s="1" t="s">
        <v>551</v>
      </c>
      <c r="B55" s="247" t="s">
        <v>10</v>
      </c>
      <c r="C55" s="247" t="s">
        <v>11</v>
      </c>
      <c r="D55" s="245" t="s">
        <v>5</v>
      </c>
      <c r="E55" s="245" t="s">
        <v>6</v>
      </c>
      <c r="F55" s="245" t="s">
        <v>7</v>
      </c>
      <c r="G55" s="245" t="s">
        <v>8</v>
      </c>
      <c r="H55" s="245" t="s">
        <v>9</v>
      </c>
      <c r="I55" s="246" t="s">
        <v>20</v>
      </c>
    </row>
    <row r="56" spans="1:10">
      <c r="A56" s="221" t="s">
        <v>501</v>
      </c>
      <c r="B56" s="286" t="s">
        <v>40</v>
      </c>
      <c r="C56" s="285" t="s">
        <v>53</v>
      </c>
      <c r="D56" s="71">
        <f>D23-D30-D38</f>
        <v>9552.3278629584238</v>
      </c>
      <c r="E56" s="71">
        <f>E23-E30-E38</f>
        <v>10429.340651660314</v>
      </c>
      <c r="F56" s="71">
        <f>F23-F30-F38</f>
        <v>10864.416989503312</v>
      </c>
      <c r="G56" s="71">
        <f>G23-G30-G38</f>
        <v>10880.414442277921</v>
      </c>
      <c r="H56" s="71">
        <f>H23-H30-H38</f>
        <v>5502.3781000168092</v>
      </c>
      <c r="I56" s="71">
        <f t="shared" ref="I56:I63" si="4">SUM(D56:H56)</f>
        <v>47228.878046416779</v>
      </c>
    </row>
    <row r="57" spans="1:10">
      <c r="A57" s="221" t="s">
        <v>725</v>
      </c>
      <c r="B57" s="286" t="s">
        <v>40</v>
      </c>
      <c r="C57" s="285" t="s">
        <v>53</v>
      </c>
      <c r="D57" s="71">
        <f>D23-D30-D38-D41-D43</f>
        <v>4208.3767123742664</v>
      </c>
      <c r="E57" s="71">
        <f>E23-E30-E38-E41-E43</f>
        <v>5053.4895010761547</v>
      </c>
      <c r="F57" s="71">
        <f>F23-F30-F38-F41-F43</f>
        <v>5457.4158389191534</v>
      </c>
      <c r="G57" s="71">
        <f>G23-G30-G38-G41-G43</f>
        <v>5443.0132916937628</v>
      </c>
      <c r="H57" s="71">
        <f>H23-H30-H38-H41-H43</f>
        <v>5216.7013078575856</v>
      </c>
      <c r="I57" s="71">
        <f t="shared" si="4"/>
        <v>25378.996651920919</v>
      </c>
    </row>
    <row r="58" spans="1:10">
      <c r="A58" s="221" t="s">
        <v>763</v>
      </c>
      <c r="B58" s="286" t="s">
        <v>40</v>
      </c>
      <c r="C58" s="285" t="s">
        <v>53</v>
      </c>
      <c r="D58" s="71">
        <f>D56-D45</f>
        <v>2826.1315637106036</v>
      </c>
      <c r="E58" s="71">
        <f>E56-E45</f>
        <v>2937.1944628309866</v>
      </c>
      <c r="F58" s="71">
        <f>F56-F45</f>
        <v>2779.5538715335679</v>
      </c>
      <c r="G58" s="71">
        <f>G56-G45</f>
        <v>2469.0466076347984</v>
      </c>
      <c r="H58" s="71">
        <f>H56-H45</f>
        <v>2073.1030425549784</v>
      </c>
      <c r="I58" s="71">
        <f t="shared" si="4"/>
        <v>13085.029548264934</v>
      </c>
    </row>
    <row r="59" spans="1:10">
      <c r="A59" s="221" t="s">
        <v>764</v>
      </c>
      <c r="B59" s="286" t="s">
        <v>40</v>
      </c>
      <c r="C59" s="285" t="s">
        <v>53</v>
      </c>
      <c r="D59" s="71">
        <f>D58-D48-(D20-D37-'FD forecasts'!D50)</f>
        <v>2072.1425112925467</v>
      </c>
      <c r="E59" s="71">
        <f>E58-E48-(E20-E37-'FD forecasts'!E50)</f>
        <v>2165.8728768923397</v>
      </c>
      <c r="F59" s="71">
        <f>F58-F48-(F20-F37-'FD forecasts'!F50)</f>
        <v>2125.156640571035</v>
      </c>
      <c r="G59" s="71">
        <f>G58-G48-(G20-G37-'FD forecasts'!G50)</f>
        <v>1899.5135255681998</v>
      </c>
      <c r="H59" s="71">
        <f>H58-H48-(H20-H37-'FD forecasts'!H50)</f>
        <v>1611.835966911138</v>
      </c>
      <c r="I59" s="71">
        <f t="shared" si="4"/>
        <v>9874.5215212352596</v>
      </c>
    </row>
    <row r="60" spans="1:10">
      <c r="A60" s="221" t="s">
        <v>550</v>
      </c>
      <c r="B60" s="286" t="s">
        <v>40</v>
      </c>
      <c r="C60" s="285" t="s">
        <v>53</v>
      </c>
      <c r="D60" s="71">
        <f>D59*WACC!$B$10</f>
        <v>393.70707714558387</v>
      </c>
      <c r="E60" s="71">
        <f>E59*WACC!$B$10</f>
        <v>411.51584660954455</v>
      </c>
      <c r="F60" s="71">
        <f>F59*WACC!$B$10</f>
        <v>403.77976170849666</v>
      </c>
      <c r="G60" s="71">
        <f>G59*WACC!$B$10</f>
        <v>360.90756985795798</v>
      </c>
      <c r="H60" s="71">
        <f>H59*WACC!$B$10</f>
        <v>306.24883371311626</v>
      </c>
      <c r="I60" s="71">
        <f t="shared" si="4"/>
        <v>1876.1590890346993</v>
      </c>
    </row>
    <row r="61" spans="1:10">
      <c r="A61" s="221" t="s">
        <v>802</v>
      </c>
      <c r="B61" s="286" t="s">
        <v>40</v>
      </c>
      <c r="C61" s="285" t="s">
        <v>53</v>
      </c>
      <c r="D61" s="71">
        <f>D59-D60</f>
        <v>1678.435434146963</v>
      </c>
      <c r="E61" s="71">
        <f>E59-E60</f>
        <v>1754.3570302827952</v>
      </c>
      <c r="F61" s="71">
        <f>F59-F60</f>
        <v>1721.3768788625384</v>
      </c>
      <c r="G61" s="71">
        <f>G59-G60</f>
        <v>1538.6059557102419</v>
      </c>
      <c r="H61" s="71">
        <f>H59-H60</f>
        <v>1305.5871331980218</v>
      </c>
      <c r="I61" s="71">
        <f t="shared" si="4"/>
        <v>7998.3624322005599</v>
      </c>
    </row>
    <row r="62" spans="1:10">
      <c r="A62" s="221" t="s">
        <v>803</v>
      </c>
      <c r="B62" s="286" t="s">
        <v>40</v>
      </c>
      <c r="C62" s="285" t="s">
        <v>53</v>
      </c>
      <c r="D62" s="71">
        <f>(D59-'Regulated revenue'!D63)*(1-WACC!$B$10)</f>
        <v>1158.7072046519629</v>
      </c>
      <c r="E62" s="71">
        <f>(E59-'Regulated revenue'!E63)*(1-WACC!$B$10)</f>
        <v>1193.0880342177952</v>
      </c>
      <c r="F62" s="71">
        <f>(F59-'Regulated revenue'!F63)*(1-WACC!$B$10)</f>
        <v>1154.2337416660489</v>
      </c>
      <c r="G62" s="71">
        <f>(G59-'Regulated revenue'!G63)*(1-WACC!$B$10)</f>
        <v>970.08318969195579</v>
      </c>
      <c r="H62" s="71">
        <f>(H59-'Regulated revenue'!H63)*(1-WACC!$B$10)</f>
        <v>735.91835596801025</v>
      </c>
      <c r="I62" s="71">
        <f t="shared" si="4"/>
        <v>5212.0305261957737</v>
      </c>
      <c r="J62" s="225"/>
    </row>
    <row r="63" spans="1:10">
      <c r="A63" s="221" t="s">
        <v>804</v>
      </c>
      <c r="B63" s="286" t="s">
        <v>40</v>
      </c>
      <c r="C63" s="285" t="s">
        <v>53</v>
      </c>
      <c r="D63" s="71">
        <f>(D59-'Regulated revenue'!D51-'Regulated revenue'!D63)*(1-WACC!$B$10)</f>
        <v>1048.6419486422028</v>
      </c>
      <c r="E63" s="71">
        <f>(E59-'Regulated revenue'!E51-'Regulated revenue'!E63)*(1-WACC!$B$10)</f>
        <v>1083.0227782080351</v>
      </c>
      <c r="F63" s="71">
        <f>(F59-'Regulated revenue'!F51-'Regulated revenue'!F63)*(1-WACC!$B$10)</f>
        <v>1044.1684856562888</v>
      </c>
      <c r="G63" s="71">
        <f>(G59-'Regulated revenue'!G51-'Regulated revenue'!G63)*(1-WACC!$B$10)</f>
        <v>860.01793368219535</v>
      </c>
      <c r="H63" s="71">
        <f>(H59-'Regulated revenue'!H51-'Regulated revenue'!H63)*(1-WACC!$B$10)</f>
        <v>625.85309995825003</v>
      </c>
      <c r="I63" s="71">
        <f t="shared" si="4"/>
        <v>4661.7042461469719</v>
      </c>
    </row>
    <row r="64" spans="1:10">
      <c r="A64" s="221"/>
      <c r="B64" s="286"/>
      <c r="D64" s="71"/>
      <c r="E64" s="71"/>
      <c r="F64" s="71"/>
      <c r="G64" s="71"/>
      <c r="H64" s="71"/>
      <c r="I64" s="71"/>
    </row>
    <row r="65" spans="1:9">
      <c r="A65" s="65" t="s">
        <v>833</v>
      </c>
      <c r="B65" s="286"/>
      <c r="D65" s="71"/>
      <c r="E65" s="71"/>
      <c r="F65" s="71"/>
      <c r="G65" s="71"/>
      <c r="H65" s="71"/>
      <c r="I65" s="71"/>
    </row>
    <row r="66" spans="1:9">
      <c r="A66" s="232" t="s">
        <v>844</v>
      </c>
      <c r="B66" s="286"/>
      <c r="D66" s="71"/>
      <c r="E66" s="71"/>
      <c r="F66" s="71"/>
      <c r="G66" s="71"/>
      <c r="H66" s="71"/>
      <c r="I66" s="71"/>
    </row>
    <row r="67" spans="1:9">
      <c r="A67" s="1" t="s">
        <v>693</v>
      </c>
      <c r="B67" s="247" t="s">
        <v>10</v>
      </c>
      <c r="C67" s="247" t="s">
        <v>11</v>
      </c>
      <c r="D67" s="245" t="s">
        <v>5</v>
      </c>
      <c r="E67" s="245" t="s">
        <v>6</v>
      </c>
      <c r="F67" s="245" t="s">
        <v>7</v>
      </c>
      <c r="G67" s="245" t="s">
        <v>8</v>
      </c>
      <c r="H67" s="245" t="s">
        <v>9</v>
      </c>
      <c r="I67" s="246" t="s">
        <v>20</v>
      </c>
    </row>
    <row r="68" spans="1:9">
      <c r="A68" s="221" t="s">
        <v>691</v>
      </c>
      <c r="B68" s="286" t="s">
        <v>40</v>
      </c>
      <c r="C68" s="285" t="s">
        <v>53</v>
      </c>
      <c r="D68" s="71">
        <f>D45</f>
        <v>6726.1962992478202</v>
      </c>
      <c r="E68" s="71">
        <f>E45</f>
        <v>7492.146188829327</v>
      </c>
      <c r="F68" s="71">
        <f>F45</f>
        <v>8084.8631179697441</v>
      </c>
      <c r="G68" s="71">
        <f>G45</f>
        <v>8411.3678346431225</v>
      </c>
      <c r="H68" s="71">
        <f>H45</f>
        <v>3429.2750574618308</v>
      </c>
      <c r="I68" s="71">
        <f t="shared" ref="I68:I74" si="5">SUM(D68:H68)</f>
        <v>34143.848498151841</v>
      </c>
    </row>
    <row r="69" spans="1:9">
      <c r="A69" s="221" t="s">
        <v>496</v>
      </c>
      <c r="B69" s="286" t="s">
        <v>40</v>
      </c>
      <c r="C69" s="285" t="s">
        <v>53</v>
      </c>
      <c r="D69" s="71">
        <f>D7</f>
        <v>1550.4348614649955</v>
      </c>
      <c r="E69" s="71">
        <f>E7</f>
        <v>1613.5459774252613</v>
      </c>
      <c r="F69" s="71">
        <f>F7</f>
        <v>1551.9211187061715</v>
      </c>
      <c r="G69" s="71">
        <f>G7</f>
        <v>1242.9142943156025</v>
      </c>
      <c r="H69" s="71">
        <f>H7</f>
        <v>848.69676819429571</v>
      </c>
      <c r="I69" s="71">
        <f t="shared" si="5"/>
        <v>6807.5130201063266</v>
      </c>
    </row>
    <row r="70" spans="1:9">
      <c r="A70" s="221" t="s">
        <v>692</v>
      </c>
      <c r="B70" s="286" t="s">
        <v>40</v>
      </c>
      <c r="C70" s="285" t="s">
        <v>53</v>
      </c>
      <c r="D70" s="71">
        <f>D30</f>
        <v>16770.099463783608</v>
      </c>
      <c r="E70" s="71">
        <f>E30</f>
        <v>16971.222702283521</v>
      </c>
      <c r="F70" s="71">
        <f>F30</f>
        <v>17069.441141409952</v>
      </c>
      <c r="G70" s="71">
        <f>G30</f>
        <v>16916.479473543386</v>
      </c>
      <c r="H70" s="71">
        <f>H30</f>
        <v>15231.011302668277</v>
      </c>
      <c r="I70" s="71">
        <f t="shared" si="5"/>
        <v>82958.254083688749</v>
      </c>
    </row>
    <row r="71" spans="1:9">
      <c r="A71" s="285" t="s">
        <v>157</v>
      </c>
      <c r="B71" s="286" t="s">
        <v>40</v>
      </c>
      <c r="C71" s="285" t="s">
        <v>53</v>
      </c>
      <c r="D71" s="71">
        <f t="shared" ref="D71:H72" si="6">D8</f>
        <v>135.88303211081504</v>
      </c>
      <c r="E71" s="71">
        <f t="shared" si="6"/>
        <v>135.88303211081504</v>
      </c>
      <c r="F71" s="71">
        <f t="shared" si="6"/>
        <v>135.88303211081504</v>
      </c>
      <c r="G71" s="71">
        <f t="shared" si="6"/>
        <v>135.88303211081504</v>
      </c>
      <c r="H71" s="71">
        <f t="shared" si="6"/>
        <v>135.88303211081504</v>
      </c>
      <c r="I71" s="71">
        <f t="shared" si="5"/>
        <v>679.41516055407521</v>
      </c>
    </row>
    <row r="72" spans="1:9">
      <c r="A72" s="285" t="s">
        <v>124</v>
      </c>
      <c r="B72" s="286" t="s">
        <v>40</v>
      </c>
      <c r="C72" s="285" t="s">
        <v>53</v>
      </c>
      <c r="D72" s="71">
        <f t="shared" si="6"/>
        <v>169.98880583540969</v>
      </c>
      <c r="E72" s="71">
        <f t="shared" si="6"/>
        <v>166.65569199549969</v>
      </c>
      <c r="F72" s="71">
        <f t="shared" si="6"/>
        <v>163.38793332892126</v>
      </c>
      <c r="G72" s="71">
        <f t="shared" si="6"/>
        <v>160.18424836168748</v>
      </c>
      <c r="H72" s="71">
        <f t="shared" si="6"/>
        <v>157.04338074675246</v>
      </c>
      <c r="I72" s="71">
        <f t="shared" si="5"/>
        <v>817.26006026827054</v>
      </c>
    </row>
    <row r="73" spans="1:9">
      <c r="A73" s="221" t="s">
        <v>158</v>
      </c>
      <c r="B73" s="286" t="s">
        <v>40</v>
      </c>
      <c r="C73" s="285" t="s">
        <v>53</v>
      </c>
      <c r="D73" s="71">
        <f>D13</f>
        <v>641.63978950000001</v>
      </c>
      <c r="E73" s="71">
        <f>E13</f>
        <v>692.92468650000001</v>
      </c>
      <c r="F73" s="71">
        <f>F13</f>
        <v>700.17671258825874</v>
      </c>
      <c r="G73" s="71">
        <f>G13</f>
        <v>701.879958047267</v>
      </c>
      <c r="H73" s="71">
        <f>H13</f>
        <v>703.29478670371805</v>
      </c>
      <c r="I73" s="71">
        <f t="shared" si="5"/>
        <v>3439.9159333392436</v>
      </c>
    </row>
    <row r="74" spans="1:9">
      <c r="A74" s="1" t="s">
        <v>20</v>
      </c>
      <c r="B74" s="286" t="s">
        <v>40</v>
      </c>
      <c r="C74" s="285" t="s">
        <v>53</v>
      </c>
      <c r="D74" s="71">
        <f>SUM(D68:D73)</f>
        <v>25994.242251942647</v>
      </c>
      <c r="E74" s="71">
        <f t="shared" ref="E74:H74" si="7">SUM(E68:E73)</f>
        <v>27072.378279144421</v>
      </c>
      <c r="F74" s="71">
        <f t="shared" si="7"/>
        <v>27705.673056113861</v>
      </c>
      <c r="G74" s="71">
        <f t="shared" si="7"/>
        <v>27568.708841021882</v>
      </c>
      <c r="H74" s="71">
        <f t="shared" si="7"/>
        <v>20505.204327885691</v>
      </c>
      <c r="I74" s="71">
        <f t="shared" si="5"/>
        <v>128846.2067561085</v>
      </c>
    </row>
    <row r="76" spans="1:9" ht="18">
      <c r="A76" s="256" t="s">
        <v>315</v>
      </c>
      <c r="B76" s="256"/>
      <c r="C76"/>
      <c r="D76"/>
      <c r="E76"/>
      <c r="F76"/>
      <c r="G76"/>
      <c r="H76"/>
      <c r="I76"/>
    </row>
    <row r="78" spans="1:9" ht="28.5">
      <c r="A78" s="1" t="s">
        <v>695</v>
      </c>
      <c r="C78" s="251" t="s">
        <v>314</v>
      </c>
      <c r="D78" s="251" t="s">
        <v>5</v>
      </c>
      <c r="E78" s="251" t="s">
        <v>6</v>
      </c>
      <c r="F78" s="251" t="s">
        <v>7</v>
      </c>
      <c r="G78" s="251" t="s">
        <v>8</v>
      </c>
      <c r="H78" s="251" t="s">
        <v>9</v>
      </c>
      <c r="I78" s="251" t="s">
        <v>236</v>
      </c>
    </row>
    <row r="79" spans="1:9">
      <c r="A79" s="228" t="s">
        <v>306</v>
      </c>
      <c r="B79" s="228" t="s">
        <v>309</v>
      </c>
      <c r="C79" s="235">
        <v>1.8</v>
      </c>
      <c r="D79" s="253">
        <f>(Earnings!D58-D13-D8)/Earnings!D48</f>
        <v>4.8111545447668815</v>
      </c>
      <c r="E79" s="253">
        <f>(Earnings!E58-E13-E8)/Earnings!E48</f>
        <v>4.7578718774488005</v>
      </c>
      <c r="F79" s="253">
        <f>(Earnings!F58-F13-F8)/Earnings!F48</f>
        <v>4.5599218575329612</v>
      </c>
      <c r="G79" s="253">
        <f>(Earnings!G58-G13-G8)/Earnings!G48</f>
        <v>4.7789457760033631</v>
      </c>
      <c r="H79" s="253">
        <f>(Earnings!H58-H13-H8)/Earnings!H48</f>
        <v>5.2939532836943499</v>
      </c>
      <c r="I79" s="253">
        <f>AVERAGE(D79:H79)</f>
        <v>4.8403694678892712</v>
      </c>
    </row>
    <row r="80" spans="1:9">
      <c r="A80" s="266" t="s">
        <v>312</v>
      </c>
      <c r="B80" s="266" t="s">
        <v>310</v>
      </c>
      <c r="C80" s="326">
        <v>0.12</v>
      </c>
      <c r="D80" s="327">
        <f>(Earnings!D56-Earnings!D48-Earnings!D60-D13-D8)/(Return!D10*WACC!$B$4)</f>
        <v>0.51658483783829456</v>
      </c>
      <c r="E80" s="327">
        <f>(Earnings!E56-Earnings!E48-Earnings!E60-E13-E8)/(Return!E10*WACC!$B$4)</f>
        <v>0.54570903509027535</v>
      </c>
      <c r="F80" s="327">
        <f>(Earnings!F56-Earnings!F48-Earnings!F60-F13-F8)/(Return!F10*WACC!$B$4)</f>
        <v>0.59673286557398264</v>
      </c>
      <c r="G80" s="327">
        <f>(Earnings!G56-Earnings!G48-Earnings!G60-G13-G8)/(Return!G10*WACC!$B$4)</f>
        <v>0.7565942687383207</v>
      </c>
      <c r="H80" s="327">
        <f>(Earnings!H56-Earnings!H48-Earnings!H60-H13-H8)/(Return!H10*WACC!$B$4)</f>
        <v>0.48920547183662899</v>
      </c>
      <c r="I80" s="327">
        <f>AVERAGE(D80:H80)</f>
        <v>0.58096529581550038</v>
      </c>
    </row>
    <row r="81" spans="1:9">
      <c r="A81" s="228" t="s">
        <v>313</v>
      </c>
      <c r="B81" s="228" t="s">
        <v>311</v>
      </c>
      <c r="C81" s="366" t="s">
        <v>235</v>
      </c>
      <c r="D81" s="253">
        <f>(Earnings!D56-Earnings!D45-Earnings!D60-D13-D8)/Earnings!D48</f>
        <v>3.8865340671766351</v>
      </c>
      <c r="E81" s="253">
        <f>(Earnings!E56-Earnings!E45-Earnings!E60-E13-E8)/Earnings!E48</f>
        <v>3.8292283640727622</v>
      </c>
      <c r="F81" s="253">
        <f>(Earnings!F56-Earnings!F45-Earnings!F60-F13-F8)/Earnings!F48</f>
        <v>3.6125538487379343</v>
      </c>
      <c r="G81" s="253">
        <f>(Earnings!G56-Earnings!G45-Earnings!G60-G13-G8)/Earnings!G48</f>
        <v>3.7216448333455818</v>
      </c>
      <c r="H81" s="253">
        <f>(Earnings!H56-Earnings!H45-Earnings!H60-H13-H8)/Earnings!H48</f>
        <v>3.9800430177638848</v>
      </c>
      <c r="I81" s="253">
        <f>AVERAGE(D81:H81)</f>
        <v>3.8060008262193592</v>
      </c>
    </row>
    <row r="83" spans="1:9" ht="28.5">
      <c r="A83" s="1" t="s">
        <v>696</v>
      </c>
      <c r="C83" s="251" t="s">
        <v>314</v>
      </c>
      <c r="D83" s="251" t="s">
        <v>5</v>
      </c>
      <c r="E83" s="251" t="s">
        <v>6</v>
      </c>
      <c r="F83" s="251" t="s">
        <v>7</v>
      </c>
      <c r="G83" s="251" t="s">
        <v>8</v>
      </c>
      <c r="H83" s="251" t="s">
        <v>9</v>
      </c>
      <c r="I83" s="251" t="s">
        <v>236</v>
      </c>
    </row>
    <row r="84" spans="1:9">
      <c r="A84" s="228" t="s">
        <v>306</v>
      </c>
      <c r="B84" s="228" t="s">
        <v>309</v>
      </c>
      <c r="C84" s="235">
        <v>1.8</v>
      </c>
      <c r="D84" s="253">
        <f>(Earnings!D58-D13)/Earnings!D48</f>
        <v>5.1302756409829238</v>
      </c>
      <c r="E84" s="253">
        <f>(Earnings!E58-E13)/Earnings!E48</f>
        <v>5.0645110928938992</v>
      </c>
      <c r="F84" s="253">
        <f>(Earnings!F58-F13)/Earnings!F48</f>
        <v>4.8787373350971626</v>
      </c>
      <c r="G84" s="253">
        <f>(Earnings!G58-G13)/Earnings!G48</f>
        <v>5.1770234832637181</v>
      </c>
      <c r="H84" s="253">
        <f>(Earnings!H58-H13)/Earnings!H48</f>
        <v>5.8769370903311691</v>
      </c>
      <c r="I84" s="253">
        <f>AVERAGE(D84:H84)</f>
        <v>5.225496928513774</v>
      </c>
    </row>
    <row r="85" spans="1:9">
      <c r="A85" s="266" t="s">
        <v>312</v>
      </c>
      <c r="B85" s="266" t="s">
        <v>310</v>
      </c>
      <c r="C85" s="326">
        <v>0.12</v>
      </c>
      <c r="D85" s="254">
        <f>(Earnings!D56-Earnings!D48-Earnings!D60-D13)/(Return!D10*WACC!$B$4)</f>
        <v>0.52540853614866823</v>
      </c>
      <c r="E85" s="254">
        <f>(Earnings!E56-Earnings!E48-Earnings!E60-E13)/(Return!E10*WACC!$B$4)</f>
        <v>0.55418760939733236</v>
      </c>
      <c r="F85" s="254">
        <f>(Earnings!F56-Earnings!F48-Earnings!F60-F13)/(Return!F10*WACC!$B$4)</f>
        <v>0.6055481135286328</v>
      </c>
      <c r="G85" s="254">
        <f>(Earnings!G56-Earnings!G48-Earnings!G60-G13)/(Return!G10*WACC!$B$4)</f>
        <v>0.76760111734406955</v>
      </c>
      <c r="H85" s="254">
        <f>(Earnings!H56-Earnings!H48-Earnings!H60-H13)/(Return!H10*WACC!$B$4)</f>
        <v>0.50532497409013721</v>
      </c>
      <c r="I85" s="254">
        <f>AVERAGE(D85:H85)</f>
        <v>0.59161407010176803</v>
      </c>
    </row>
    <row r="86" spans="1:9">
      <c r="A86" s="228" t="s">
        <v>313</v>
      </c>
      <c r="B86" s="228" t="s">
        <v>311</v>
      </c>
      <c r="C86" s="366" t="s">
        <v>235</v>
      </c>
      <c r="D86" s="253">
        <f>(Earnings!D56-Earnings!D45-Earnings!D60-D13)/Earnings!D48</f>
        <v>4.2056551633926773</v>
      </c>
      <c r="E86" s="253">
        <f>(Earnings!E56-Earnings!E45-Earnings!E60-E13)/Earnings!E48</f>
        <v>4.1358675795178605</v>
      </c>
      <c r="F86" s="253">
        <f>(Earnings!F56-Earnings!F45-Earnings!F60-F13)/Earnings!F48</f>
        <v>3.9313693263021352</v>
      </c>
      <c r="G86" s="253">
        <f>(Earnings!G56-Earnings!G45-Earnings!G60-G13)/Earnings!G48</f>
        <v>4.1197225406059363</v>
      </c>
      <c r="H86" s="253">
        <f>(Earnings!H56-Earnings!H45-Earnings!H60-H13)/Earnings!H48</f>
        <v>4.5630268244007048</v>
      </c>
      <c r="I86" s="253">
        <f>AVERAGE(D86:H86)</f>
        <v>4.1911282868438624</v>
      </c>
    </row>
    <row r="88" spans="1:9" ht="28.5">
      <c r="A88" s="1" t="s">
        <v>697</v>
      </c>
      <c r="C88" s="251" t="s">
        <v>314</v>
      </c>
      <c r="D88" s="251" t="s">
        <v>5</v>
      </c>
      <c r="E88" s="251" t="s">
        <v>6</v>
      </c>
      <c r="F88" s="251" t="s">
        <v>7</v>
      </c>
      <c r="G88" s="251" t="s">
        <v>8</v>
      </c>
      <c r="H88" s="251" t="s">
        <v>9</v>
      </c>
      <c r="I88" s="251" t="s">
        <v>236</v>
      </c>
    </row>
    <row r="89" spans="1:9">
      <c r="A89" s="228" t="s">
        <v>306</v>
      </c>
      <c r="B89" s="228" t="s">
        <v>309</v>
      </c>
      <c r="C89" s="235">
        <v>1.8</v>
      </c>
      <c r="D89" s="253">
        <f>Earnings!D58/Earnings!D48</f>
        <v>6.6371657200480163</v>
      </c>
      <c r="E89" s="253">
        <f>Earnings!E58/Earnings!E48</f>
        <v>6.6281933196609719</v>
      </c>
      <c r="F89" s="253">
        <f>Earnings!F58/Earnings!F48</f>
        <v>6.5215265011581032</v>
      </c>
      <c r="G89" s="253">
        <f>Earnings!G58/Earnings!G48</f>
        <v>7.2332240267104675</v>
      </c>
      <c r="H89" s="253">
        <f>Earnings!H58/Earnings!H48</f>
        <v>8.8943077330909919</v>
      </c>
      <c r="I89" s="253">
        <f>AVERAGE(D89:H89)</f>
        <v>7.1828834601337093</v>
      </c>
    </row>
    <row r="90" spans="1:9">
      <c r="A90" s="266" t="s">
        <v>312</v>
      </c>
      <c r="B90" s="266" t="s">
        <v>310</v>
      </c>
      <c r="C90" s="326">
        <v>0.12</v>
      </c>
      <c r="D90" s="327">
        <f>(Earnings!D56-Earnings!D48-Earnings!D60)/(Return!D10*WACC!$B$4)</f>
        <v>0.56707404683481832</v>
      </c>
      <c r="E90" s="327">
        <f>(Earnings!E56-Earnings!E48-Earnings!E60)/(Return!E10*WACC!$B$4)</f>
        <v>0.59742342296744222</v>
      </c>
      <c r="F90" s="327">
        <f>(Earnings!F56-Earnings!F48-Earnings!F60)/(Return!F10*WACC!$B$4)</f>
        <v>0.65097123397021806</v>
      </c>
      <c r="G90" s="327">
        <f>(Earnings!G56-Earnings!G48-Earnings!G60)/(Return!G10*WACC!$B$4)</f>
        <v>0.82445506237037258</v>
      </c>
      <c r="H90" s="327">
        <f>(Earnings!H56-Earnings!H48-Earnings!H60)/(Return!H10*WACC!$B$4)</f>
        <v>0.58875527236244685</v>
      </c>
      <c r="I90" s="327">
        <f>AVERAGE(D90:H90)</f>
        <v>0.64573580770105954</v>
      </c>
    </row>
    <row r="91" spans="1:9">
      <c r="A91" s="228" t="s">
        <v>313</v>
      </c>
      <c r="B91" s="228" t="s">
        <v>311</v>
      </c>
      <c r="C91" s="366" t="s">
        <v>235</v>
      </c>
      <c r="D91" s="253">
        <f>(Earnings!D56-Earnings!D45-Earnings!D60)/Earnings!D48</f>
        <v>5.7125452424577698</v>
      </c>
      <c r="E91" s="253">
        <f>(Earnings!E56-Earnings!E45-Earnings!E60)/Earnings!E48</f>
        <v>5.6995498062849332</v>
      </c>
      <c r="F91" s="253">
        <f>(Earnings!F56-Earnings!F45-Earnings!F60)/Earnings!F48</f>
        <v>5.5741584923630763</v>
      </c>
      <c r="G91" s="253">
        <f>(Earnings!G56-Earnings!G45-Earnings!G60)/Earnings!G48</f>
        <v>6.1759230840526866</v>
      </c>
      <c r="H91" s="253">
        <f>(Earnings!H56-Earnings!H45-Earnings!H60)/Earnings!H48</f>
        <v>7.5803974671605268</v>
      </c>
      <c r="I91" s="253">
        <f>AVERAGE(D91:H91)</f>
        <v>6.1485148184637985</v>
      </c>
    </row>
    <row r="93" spans="1:9" ht="18">
      <c r="A93" s="316" t="s">
        <v>724</v>
      </c>
    </row>
    <row r="94" spans="1:9" ht="28.5">
      <c r="A94" s="1" t="s">
        <v>774</v>
      </c>
      <c r="C94" s="251" t="s">
        <v>314</v>
      </c>
      <c r="D94" s="251" t="s">
        <v>5</v>
      </c>
      <c r="E94" s="251" t="s">
        <v>6</v>
      </c>
      <c r="F94" s="251" t="s">
        <v>7</v>
      </c>
      <c r="G94" s="251" t="s">
        <v>8</v>
      </c>
      <c r="H94" s="251" t="s">
        <v>9</v>
      </c>
      <c r="I94" s="251" t="s">
        <v>236</v>
      </c>
    </row>
    <row r="95" spans="1:9">
      <c r="A95" s="266" t="s">
        <v>835</v>
      </c>
      <c r="B95" s="266" t="s">
        <v>307</v>
      </c>
      <c r="C95" s="366" t="s">
        <v>235</v>
      </c>
      <c r="D95" s="329">
        <f>(Earnings!D58-D8-D13)/(Earnings!D23+'FD forecasts'!D61)</f>
        <v>1.2760780157546453E-2</v>
      </c>
      <c r="E95" s="329">
        <f>(Earnings!E58-E8-E13)/(Earnings!E23+'FD forecasts'!E61)</f>
        <v>1.2267007799297703E-2</v>
      </c>
      <c r="F95" s="329">
        <f>(Earnings!F58-F8-F13)/(Earnings!F23+'FD forecasts'!F61)</f>
        <v>1.1178611624944825E-2</v>
      </c>
      <c r="G95" s="329">
        <f>(Earnings!G58-G8-G13)/(Earnings!G23+'FD forecasts'!G61)</f>
        <v>9.3718560025759408E-3</v>
      </c>
      <c r="H95" s="329">
        <f>(Earnings!H58-H8-H13)/(Earnings!H23+'FD forecasts'!H61)</f>
        <v>7.3763435317429991E-3</v>
      </c>
      <c r="I95" s="329">
        <f>AVERAGE(D95:H95)</f>
        <v>1.0590919823221582E-2</v>
      </c>
    </row>
    <row r="96" spans="1:9">
      <c r="A96" s="228" t="s">
        <v>834</v>
      </c>
      <c r="B96" s="228" t="s">
        <v>308</v>
      </c>
      <c r="C96" s="366" t="s">
        <v>235</v>
      </c>
      <c r="D96" s="252">
        <f>(Earnings!D58-D8-D13)/(Earnings!D23)</f>
        <v>1.8543312214792128E-2</v>
      </c>
      <c r="E96" s="252">
        <f>(Earnings!E58-E8-E13)/(Earnings!E23)</f>
        <v>1.7308520154787767E-2</v>
      </c>
      <c r="F96" s="252">
        <f>(Earnings!F58-F8-F13)/(Earnings!F23)</f>
        <v>1.5699196009788956E-2</v>
      </c>
      <c r="G96" s="252">
        <f>(Earnings!G58-G8-G13)/(Earnings!G23)</f>
        <v>1.3155570415715143E-2</v>
      </c>
      <c r="H96" s="252">
        <f>(Earnings!H58-H8-H13)/(Earnings!H23)</f>
        <v>1.0526672818433933E-2</v>
      </c>
      <c r="I96" s="252">
        <f>AVERAGE(D96:H96)</f>
        <v>1.5046654322703587E-2</v>
      </c>
    </row>
    <row r="97" spans="1:9">
      <c r="A97" s="364" t="s">
        <v>836</v>
      </c>
      <c r="B97" s="364" t="s">
        <v>694</v>
      </c>
      <c r="C97" s="366" t="s">
        <v>235</v>
      </c>
      <c r="D97" s="252">
        <f>(D58-D8-D13)/D74</f>
        <v>7.8810096568469448E-2</v>
      </c>
      <c r="E97" s="252">
        <f>(E58-E8-E13)/E74</f>
        <v>7.7879627806634058E-2</v>
      </c>
      <c r="F97" s="252">
        <f>(F58-F8-F13)/F74</f>
        <v>7.0147876317540672E-2</v>
      </c>
      <c r="G97" s="252">
        <f>(G58-G8-G13)/G74</f>
        <v>5.9171563923566407E-2</v>
      </c>
      <c r="H97" s="252">
        <f>(H58-H8-H13)/H74</f>
        <v>6.0176197418447104E-2</v>
      </c>
      <c r="I97" s="252">
        <f>AVERAGE(D97:H97)</f>
        <v>6.9237072406931541E-2</v>
      </c>
    </row>
    <row r="98" spans="1:9">
      <c r="A98" s="228"/>
      <c r="B98" s="228"/>
      <c r="C98" s="366"/>
    </row>
    <row r="99" spans="1:9" ht="28.5">
      <c r="A99" s="1" t="s">
        <v>775</v>
      </c>
      <c r="C99" s="251" t="s">
        <v>314</v>
      </c>
      <c r="D99" s="251" t="s">
        <v>5</v>
      </c>
      <c r="E99" s="251" t="s">
        <v>6</v>
      </c>
      <c r="F99" s="251" t="s">
        <v>7</v>
      </c>
      <c r="G99" s="251" t="s">
        <v>8</v>
      </c>
      <c r="H99" s="251" t="s">
        <v>9</v>
      </c>
      <c r="I99" s="251" t="s">
        <v>236</v>
      </c>
    </row>
    <row r="100" spans="1:9">
      <c r="A100" s="266" t="s">
        <v>835</v>
      </c>
      <c r="B100" s="266" t="s">
        <v>307</v>
      </c>
      <c r="C100" s="366" t="s">
        <v>235</v>
      </c>
      <c r="D100" s="329">
        <f>(Earnings!D58-D13)/(Earnings!D23+'FD forecasts'!D61)</f>
        <v>1.3607195319345304E-2</v>
      </c>
      <c r="E100" s="329">
        <f>(Earnings!E58-E13)/(Earnings!E23+'FD forecasts'!E61)</f>
        <v>1.3057601943974947E-2</v>
      </c>
      <c r="F100" s="329">
        <f>(Earnings!F58-F13)/(Earnings!F23+'FD forecasts'!F61)</f>
        <v>1.1960185194637459E-2</v>
      </c>
      <c r="G100" s="329">
        <f>(Earnings!G58-G13)/(Earnings!G23+'FD forecasts'!G61)</f>
        <v>1.0152514985779477E-2</v>
      </c>
      <c r="H100" s="329">
        <f>(Earnings!H58-H13)/(Earnings!H23+'FD forecasts'!H61)</f>
        <v>8.1886455300325435E-3</v>
      </c>
      <c r="I100" s="329">
        <f>AVERAGE(D100:H100)</f>
        <v>1.1393228594753946E-2</v>
      </c>
    </row>
    <row r="101" spans="1:9">
      <c r="A101" s="228" t="s">
        <v>834</v>
      </c>
      <c r="B101" s="228" t="s">
        <v>308</v>
      </c>
      <c r="C101" s="366" t="s">
        <v>235</v>
      </c>
      <c r="D101" s="252">
        <f>(Earnings!D58-D13)/(Earnings!D23)</f>
        <v>1.9773279380967936E-2</v>
      </c>
      <c r="E101" s="252">
        <f>(Earnings!E58-E13)/(Earnings!E23)</f>
        <v>1.8424033808262959E-2</v>
      </c>
      <c r="F101" s="252">
        <f>(Earnings!F58-F13)/(Earnings!F23)</f>
        <v>1.6796834703962274E-2</v>
      </c>
      <c r="G101" s="252">
        <f>(Earnings!G58-G13)/(Earnings!G23)</f>
        <v>1.4251406098782818E-2</v>
      </c>
      <c r="H101" s="252">
        <f>(Earnings!H58-H13)/(Earnings!H23)</f>
        <v>1.1685897213143432E-2</v>
      </c>
      <c r="I101" s="252">
        <f>AVERAGE(D101:H101)</f>
        <v>1.6186290241023884E-2</v>
      </c>
    </row>
    <row r="102" spans="1:9">
      <c r="A102" s="364" t="s">
        <v>836</v>
      </c>
      <c r="B102" s="364" t="s">
        <v>694</v>
      </c>
      <c r="C102" s="366" t="s">
        <v>235</v>
      </c>
      <c r="D102" s="252">
        <f>(D58-D13)/D74</f>
        <v>8.4037524657882584E-2</v>
      </c>
      <c r="E102" s="252">
        <f>(E58-E13)/E74</f>
        <v>8.2898877711822264E-2</v>
      </c>
      <c r="F102" s="252">
        <f>(F58-F13)/F74</f>
        <v>7.5052396479732844E-2</v>
      </c>
      <c r="G102" s="252">
        <f>(G58-G13)/G74</f>
        <v>6.4100450252425695E-2</v>
      </c>
      <c r="H102" s="252">
        <f>(H58-H13)/H74</f>
        <v>6.6802955676399364E-2</v>
      </c>
      <c r="I102" s="252">
        <f>AVERAGE(D102:H102)</f>
        <v>7.4578440955652553E-2</v>
      </c>
    </row>
    <row r="103" spans="1:9">
      <c r="A103" s="228"/>
      <c r="B103" s="228"/>
      <c r="C103" s="366"/>
      <c r="D103" s="252"/>
      <c r="E103" s="252"/>
      <c r="F103" s="252"/>
      <c r="G103" s="252"/>
      <c r="H103" s="252"/>
      <c r="I103" s="252"/>
    </row>
    <row r="104" spans="1:9" ht="28.5">
      <c r="A104" s="1" t="s">
        <v>698</v>
      </c>
      <c r="C104" s="251" t="s">
        <v>314</v>
      </c>
      <c r="D104" s="251" t="s">
        <v>5</v>
      </c>
      <c r="E104" s="251" t="s">
        <v>6</v>
      </c>
      <c r="F104" s="251" t="s">
        <v>7</v>
      </c>
      <c r="G104" s="251" t="s">
        <v>8</v>
      </c>
      <c r="H104" s="251" t="s">
        <v>9</v>
      </c>
      <c r="I104" s="251" t="s">
        <v>236</v>
      </c>
    </row>
    <row r="105" spans="1:9">
      <c r="A105" s="266" t="s">
        <v>835</v>
      </c>
      <c r="B105" s="266" t="s">
        <v>307</v>
      </c>
      <c r="C105" s="328" t="s">
        <v>234</v>
      </c>
      <c r="D105" s="329">
        <f>Earnings!D58/(Earnings!D23+'FD forecasts'!D61)</f>
        <v>1.7603968410214527E-2</v>
      </c>
      <c r="E105" s="329">
        <f>Earnings!E58/(Earnings!E23+'FD forecasts'!E61)</f>
        <v>1.7089173740242027E-2</v>
      </c>
      <c r="F105" s="329">
        <f>Earnings!F58/(Earnings!F23+'FD forecasts'!F61)</f>
        <v>1.5987469574242533E-2</v>
      </c>
      <c r="G105" s="329">
        <f>Earnings!G58/(Earnings!G23+'FD forecasts'!G61)</f>
        <v>1.4184871975968469E-2</v>
      </c>
      <c r="H105" s="329">
        <f>Earnings!H58/(Earnings!H23+'FD forecasts'!H61)</f>
        <v>1.2392906737275503E-2</v>
      </c>
      <c r="I105" s="329">
        <f>AVERAGE(D105:H105)</f>
        <v>1.545167808758861E-2</v>
      </c>
    </row>
    <row r="106" spans="1:9">
      <c r="A106" s="228" t="s">
        <v>834</v>
      </c>
      <c r="B106" s="228" t="s">
        <v>308</v>
      </c>
      <c r="C106" s="245" t="s">
        <v>234</v>
      </c>
      <c r="D106" s="252">
        <f>Earnings!D58/(Earnings!D23)</f>
        <v>2.558118535228417E-2</v>
      </c>
      <c r="E106" s="252">
        <f>Earnings!E58/(Earnings!E23)</f>
        <v>2.4112506729520713E-2</v>
      </c>
      <c r="F106" s="252">
        <f>Earnings!F58/(Earnings!F23)</f>
        <v>2.2452736258095875E-2</v>
      </c>
      <c r="G106" s="252">
        <f>Earnings!G58/(Earnings!G23)</f>
        <v>1.9911753025917824E-2</v>
      </c>
      <c r="H106" s="252">
        <f>Earnings!H58/(Earnings!H23)</f>
        <v>1.7685737375335957E-2</v>
      </c>
      <c r="I106" s="252">
        <f>AVERAGE(D106:H106)</f>
        <v>2.1948783748230911E-2</v>
      </c>
    </row>
    <row r="107" spans="1:9">
      <c r="A107" s="364" t="s">
        <v>836</v>
      </c>
      <c r="B107" s="364" t="s">
        <v>694</v>
      </c>
      <c r="C107" s="365">
        <v>0.1</v>
      </c>
      <c r="D107" s="252">
        <f>D58/D74</f>
        <v>0.1087214443998419</v>
      </c>
      <c r="E107" s="252">
        <f>E58/E74</f>
        <v>0.10849414235223268</v>
      </c>
      <c r="F107" s="252">
        <f>F58/F74</f>
        <v>0.10032435833282161</v>
      </c>
      <c r="G107" s="252">
        <f>G58/G74</f>
        <v>8.9559747678893437E-2</v>
      </c>
      <c r="H107" s="252">
        <f>H58/H74</f>
        <v>0.10110131113083806</v>
      </c>
      <c r="I107" s="252">
        <f>AVERAGE(D107:H107)</f>
        <v>0.10164020077892555</v>
      </c>
    </row>
    <row r="108" spans="1:9">
      <c r="A108"/>
      <c r="B108"/>
      <c r="C108"/>
      <c r="D108"/>
      <c r="E108"/>
      <c r="F108"/>
      <c r="G108"/>
      <c r="H108"/>
      <c r="I108"/>
    </row>
    <row r="110" spans="1:9">
      <c r="D110" s="251"/>
      <c r="E110" s="251"/>
      <c r="F110" s="251"/>
      <c r="G110" s="251"/>
      <c r="H110" s="251"/>
      <c r="I110" s="251"/>
    </row>
    <row r="111" spans="1:9">
      <c r="D111" s="253"/>
      <c r="E111" s="253"/>
      <c r="F111" s="253"/>
      <c r="G111" s="253"/>
      <c r="H111" s="253"/>
      <c r="I111" s="253"/>
    </row>
    <row r="112" spans="1:9">
      <c r="D112" s="327"/>
      <c r="E112" s="327"/>
      <c r="F112" s="327"/>
      <c r="G112" s="327"/>
      <c r="H112" s="327"/>
      <c r="I112" s="327"/>
    </row>
    <row r="113" spans="4:9">
      <c r="D113" s="253"/>
      <c r="E113" s="253"/>
      <c r="F113" s="253"/>
      <c r="G113" s="253"/>
      <c r="H113" s="253"/>
      <c r="I113" s="253"/>
    </row>
    <row r="115" spans="4:9">
      <c r="D115" s="251"/>
      <c r="E115" s="251"/>
      <c r="F115" s="251"/>
      <c r="G115" s="251"/>
      <c r="H115" s="251"/>
      <c r="I115" s="251"/>
    </row>
    <row r="116" spans="4:9">
      <c r="D116" s="253"/>
      <c r="E116" s="253"/>
      <c r="F116" s="253"/>
      <c r="G116" s="253"/>
      <c r="H116" s="253"/>
      <c r="I116" s="253"/>
    </row>
    <row r="117" spans="4:9">
      <c r="D117" s="254"/>
      <c r="E117" s="254"/>
      <c r="F117" s="254"/>
      <c r="G117" s="254"/>
      <c r="H117" s="254"/>
      <c r="I117" s="254"/>
    </row>
    <row r="118" spans="4:9">
      <c r="D118" s="253"/>
      <c r="E118" s="253"/>
      <c r="F118" s="253"/>
      <c r="G118" s="253"/>
      <c r="H118" s="253"/>
      <c r="I118" s="253"/>
    </row>
    <row r="120" spans="4:9">
      <c r="D120" s="251"/>
      <c r="E120" s="251"/>
      <c r="F120" s="251"/>
      <c r="G120" s="251"/>
      <c r="H120" s="251"/>
      <c r="I120" s="251"/>
    </row>
    <row r="121" spans="4:9">
      <c r="D121" s="253"/>
      <c r="E121" s="253"/>
      <c r="F121" s="253"/>
      <c r="G121" s="253"/>
      <c r="H121" s="253"/>
      <c r="I121" s="253"/>
    </row>
    <row r="122" spans="4:9">
      <c r="D122" s="327"/>
      <c r="E122" s="327"/>
      <c r="F122" s="327"/>
      <c r="G122" s="327"/>
      <c r="H122" s="327"/>
      <c r="I122" s="327"/>
    </row>
    <row r="123" spans="4:9">
      <c r="D123" s="253"/>
      <c r="E123" s="253"/>
      <c r="F123" s="253"/>
      <c r="G123" s="253"/>
      <c r="H123" s="253"/>
      <c r="I123" s="253"/>
    </row>
    <row r="125" spans="4:9">
      <c r="D125" s="251"/>
      <c r="E125" s="251"/>
      <c r="F125" s="251"/>
      <c r="G125" s="251"/>
      <c r="H125" s="251"/>
      <c r="I125" s="251"/>
    </row>
    <row r="126" spans="4:9">
      <c r="D126" s="329"/>
      <c r="E126" s="329"/>
      <c r="F126" s="329"/>
      <c r="G126" s="329"/>
      <c r="H126" s="329"/>
      <c r="I126" s="329"/>
    </row>
    <row r="127" spans="4:9">
      <c r="D127" s="252"/>
      <c r="E127" s="252"/>
      <c r="F127" s="252"/>
      <c r="G127" s="252"/>
      <c r="H127" s="252"/>
      <c r="I127" s="252"/>
    </row>
    <row r="128" spans="4:9">
      <c r="D128" s="252"/>
      <c r="E128" s="252"/>
      <c r="F128" s="252"/>
      <c r="G128" s="252"/>
      <c r="H128" s="252"/>
      <c r="I128" s="252"/>
    </row>
    <row r="130" spans="4:9">
      <c r="D130" s="251"/>
      <c r="E130" s="251"/>
      <c r="F130" s="251"/>
      <c r="G130" s="251"/>
      <c r="H130" s="251"/>
      <c r="I130" s="251"/>
    </row>
    <row r="131" spans="4:9">
      <c r="D131" s="329"/>
      <c r="E131" s="329"/>
      <c r="F131" s="329"/>
      <c r="G131" s="329"/>
      <c r="H131" s="329"/>
      <c r="I131" s="329"/>
    </row>
    <row r="132" spans="4:9">
      <c r="D132" s="252"/>
      <c r="E132" s="252"/>
      <c r="F132" s="252"/>
      <c r="G132" s="252"/>
      <c r="H132" s="252"/>
      <c r="I132" s="252"/>
    </row>
    <row r="133" spans="4:9">
      <c r="D133" s="252"/>
      <c r="E133" s="252"/>
      <c r="F133" s="252"/>
      <c r="G133" s="252"/>
      <c r="H133" s="252"/>
      <c r="I133" s="252"/>
    </row>
    <row r="135" spans="4:9">
      <c r="D135" s="251"/>
      <c r="E135" s="251"/>
      <c r="F135" s="251"/>
      <c r="G135" s="251"/>
      <c r="H135" s="251"/>
      <c r="I135" s="251"/>
    </row>
    <row r="136" spans="4:9">
      <c r="D136" s="329"/>
      <c r="E136" s="329"/>
      <c r="F136" s="329"/>
      <c r="G136" s="329"/>
      <c r="H136" s="329"/>
      <c r="I136" s="329"/>
    </row>
    <row r="137" spans="4:9">
      <c r="D137" s="252"/>
      <c r="E137" s="252"/>
      <c r="F137" s="252"/>
      <c r="G137" s="252"/>
      <c r="H137" s="252"/>
      <c r="I137" s="252"/>
    </row>
    <row r="138" spans="4:9">
      <c r="D138" s="252"/>
      <c r="E138" s="252"/>
      <c r="F138" s="252"/>
      <c r="G138" s="252"/>
      <c r="H138" s="252"/>
      <c r="I138" s="252"/>
    </row>
    <row r="141" spans="4:9">
      <c r="D141" s="253"/>
      <c r="E141" s="253"/>
      <c r="F141" s="253"/>
      <c r="G141" s="253"/>
      <c r="H141" s="253"/>
      <c r="I141" s="253"/>
    </row>
    <row r="142" spans="4:9">
      <c r="D142" s="327"/>
      <c r="E142" s="327"/>
      <c r="F142" s="327"/>
      <c r="G142" s="327"/>
      <c r="H142" s="327"/>
      <c r="I142" s="327"/>
    </row>
    <row r="143" spans="4:9">
      <c r="D143" s="253"/>
      <c r="E143" s="253"/>
      <c r="F143" s="253"/>
      <c r="G143" s="253"/>
      <c r="H143" s="253"/>
      <c r="I143" s="253"/>
    </row>
    <row r="145" spans="4:9">
      <c r="D145" s="251"/>
      <c r="E145" s="251"/>
      <c r="F145" s="251"/>
      <c r="G145" s="251"/>
      <c r="H145" s="251"/>
      <c r="I145" s="251"/>
    </row>
    <row r="146" spans="4:9">
      <c r="D146" s="253"/>
      <c r="E146" s="253"/>
      <c r="F146" s="253"/>
      <c r="G146" s="253"/>
      <c r="H146" s="253"/>
      <c r="I146" s="253"/>
    </row>
    <row r="147" spans="4:9">
      <c r="D147" s="254"/>
      <c r="E147" s="254"/>
      <c r="F147" s="254"/>
      <c r="G147" s="254"/>
      <c r="H147" s="254"/>
      <c r="I147" s="254"/>
    </row>
    <row r="148" spans="4:9">
      <c r="D148" s="253"/>
      <c r="E148" s="253"/>
      <c r="F148" s="253"/>
      <c r="G148" s="253"/>
      <c r="H148" s="253"/>
      <c r="I148" s="253"/>
    </row>
    <row r="150" spans="4:9">
      <c r="D150" s="251"/>
      <c r="E150" s="251"/>
      <c r="F150" s="251"/>
      <c r="G150" s="251"/>
      <c r="H150" s="251"/>
      <c r="I150" s="251"/>
    </row>
    <row r="151" spans="4:9">
      <c r="D151" s="253"/>
      <c r="E151" s="253"/>
      <c r="F151" s="253"/>
      <c r="G151" s="253"/>
      <c r="H151" s="253"/>
      <c r="I151" s="253"/>
    </row>
    <row r="152" spans="4:9">
      <c r="D152" s="327"/>
      <c r="E152" s="327"/>
      <c r="F152" s="327"/>
      <c r="G152" s="327"/>
      <c r="H152" s="327"/>
      <c r="I152" s="327"/>
    </row>
    <row r="153" spans="4:9">
      <c r="D153" s="253"/>
      <c r="E153" s="253"/>
      <c r="F153" s="253"/>
      <c r="G153" s="253"/>
      <c r="H153" s="253"/>
      <c r="I153" s="253"/>
    </row>
    <row r="155" spans="4:9">
      <c r="D155" s="251"/>
      <c r="E155" s="251"/>
      <c r="F155" s="251"/>
      <c r="G155" s="251"/>
      <c r="H155" s="251"/>
      <c r="I155" s="251"/>
    </row>
    <row r="156" spans="4:9">
      <c r="D156" s="329"/>
      <c r="E156" s="329"/>
      <c r="F156" s="329"/>
      <c r="G156" s="329"/>
      <c r="H156" s="329"/>
      <c r="I156" s="329"/>
    </row>
    <row r="157" spans="4:9">
      <c r="D157" s="252"/>
      <c r="E157" s="252"/>
      <c r="F157" s="252"/>
      <c r="G157" s="252"/>
      <c r="H157" s="252"/>
      <c r="I157" s="252"/>
    </row>
    <row r="158" spans="4:9">
      <c r="D158" s="252"/>
      <c r="E158" s="252"/>
      <c r="F158" s="252"/>
      <c r="G158" s="252"/>
      <c r="H158" s="252"/>
      <c r="I158" s="252"/>
    </row>
    <row r="160" spans="4:9">
      <c r="D160" s="251"/>
      <c r="E160" s="251"/>
      <c r="F160" s="251"/>
      <c r="G160" s="251"/>
      <c r="H160" s="251"/>
      <c r="I160" s="251"/>
    </row>
    <row r="161" spans="4:9">
      <c r="D161" s="329"/>
      <c r="E161" s="329"/>
      <c r="F161" s="329"/>
      <c r="G161" s="329"/>
      <c r="H161" s="329"/>
      <c r="I161" s="329"/>
    </row>
    <row r="162" spans="4:9">
      <c r="D162" s="252"/>
      <c r="E162" s="252"/>
      <c r="F162" s="252"/>
      <c r="G162" s="252"/>
      <c r="H162" s="252"/>
      <c r="I162" s="252"/>
    </row>
    <row r="163" spans="4:9">
      <c r="D163" s="252"/>
      <c r="E163" s="252"/>
      <c r="F163" s="252"/>
      <c r="G163" s="252"/>
      <c r="H163" s="252"/>
      <c r="I163" s="252"/>
    </row>
    <row r="165" spans="4:9">
      <c r="D165" s="251"/>
      <c r="E165" s="251"/>
      <c r="F165" s="251"/>
      <c r="G165" s="251"/>
      <c r="H165" s="251"/>
      <c r="I165" s="251"/>
    </row>
    <row r="166" spans="4:9">
      <c r="D166" s="329"/>
      <c r="E166" s="329"/>
      <c r="F166" s="329"/>
      <c r="G166" s="329"/>
      <c r="H166" s="329"/>
      <c r="I166" s="329"/>
    </row>
    <row r="167" spans="4:9">
      <c r="D167" s="252"/>
      <c r="E167" s="252"/>
      <c r="F167" s="252"/>
      <c r="G167" s="252"/>
      <c r="H167" s="252"/>
      <c r="I167" s="252"/>
    </row>
    <row r="168" spans="4:9">
      <c r="D168" s="252"/>
      <c r="E168" s="252"/>
      <c r="F168" s="252"/>
      <c r="G168" s="252"/>
      <c r="H168" s="252"/>
      <c r="I168" s="252"/>
    </row>
    <row r="169" spans="4:9">
      <c r="D169" s="252"/>
      <c r="E169" s="252"/>
      <c r="F169" s="252"/>
      <c r="G169" s="252"/>
      <c r="H169" s="252"/>
      <c r="I169" s="25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C0527-21AD-48DE-979F-9BAFD062FA4D}">
  <sheetPr>
    <tabColor rgb="FFFF0000"/>
  </sheetPr>
  <dimension ref="A1:J38"/>
  <sheetViews>
    <sheetView showGridLines="0" zoomScale="80" zoomScaleNormal="80" workbookViewId="0"/>
  </sheetViews>
  <sheetFormatPr defaultColWidth="8.6640625" defaultRowHeight="14.25"/>
  <cols>
    <col min="1" max="1" width="9.46484375" style="285" customWidth="1"/>
    <col min="2" max="2" width="19.6640625" style="285" customWidth="1"/>
    <col min="3" max="3" width="99.33203125" style="285" customWidth="1"/>
    <col min="4" max="4" width="18" style="285" customWidth="1"/>
    <col min="5" max="5" width="24.33203125" style="285" customWidth="1"/>
    <col min="6" max="23" width="10.33203125" style="285" customWidth="1"/>
    <col min="24" max="16384" width="8.6640625" style="285"/>
  </cols>
  <sheetData>
    <row r="1" spans="1:10" ht="18">
      <c r="A1" s="256" t="s">
        <v>689</v>
      </c>
      <c r="B1" s="256"/>
      <c r="C1" s="256"/>
      <c r="D1" s="256"/>
      <c r="E1" s="256"/>
      <c r="F1" s="256"/>
      <c r="G1" s="256"/>
      <c r="H1" s="256"/>
      <c r="I1" s="256"/>
      <c r="J1" s="256"/>
    </row>
    <row r="3" spans="1:10">
      <c r="A3" s="285" t="s">
        <v>858</v>
      </c>
    </row>
    <row r="4" spans="1:10">
      <c r="A4" s="1"/>
    </row>
    <row r="5" spans="1:10">
      <c r="A5" s="332"/>
      <c r="B5" s="1" t="s">
        <v>678</v>
      </c>
      <c r="C5" s="1" t="s">
        <v>679</v>
      </c>
      <c r="D5" s="1" t="s">
        <v>680</v>
      </c>
      <c r="E5" s="1"/>
    </row>
    <row r="6" spans="1:10">
      <c r="A6" s="332"/>
      <c r="B6" s="382" t="s">
        <v>601</v>
      </c>
      <c r="C6" s="285" t="s">
        <v>859</v>
      </c>
      <c r="D6" s="285" t="s">
        <v>845</v>
      </c>
    </row>
    <row r="7" spans="1:10">
      <c r="A7" s="332"/>
      <c r="B7" s="382" t="s">
        <v>601</v>
      </c>
      <c r="C7" s="285" t="s">
        <v>789</v>
      </c>
      <c r="D7" s="285" t="s">
        <v>790</v>
      </c>
    </row>
    <row r="8" spans="1:10">
      <c r="B8" s="382" t="s">
        <v>602</v>
      </c>
      <c r="C8" s="285" t="s">
        <v>793</v>
      </c>
      <c r="D8" s="285" t="s">
        <v>791</v>
      </c>
    </row>
    <row r="9" spans="1:10">
      <c r="B9" s="382" t="s">
        <v>602</v>
      </c>
      <c r="C9" s="285" t="s">
        <v>794</v>
      </c>
      <c r="D9" s="285" t="s">
        <v>792</v>
      </c>
    </row>
    <row r="10" spans="1:10">
      <c r="B10" s="382" t="s">
        <v>241</v>
      </c>
      <c r="C10" s="286" t="s">
        <v>795</v>
      </c>
      <c r="D10" s="285" t="s">
        <v>796</v>
      </c>
    </row>
    <row r="11" spans="1:10">
      <c r="B11" s="382" t="s">
        <v>241</v>
      </c>
      <c r="C11" s="285" t="s">
        <v>848</v>
      </c>
    </row>
    <row r="12" spans="1:10">
      <c r="B12" s="382" t="s">
        <v>786</v>
      </c>
      <c r="C12" s="285" t="s">
        <v>797</v>
      </c>
    </row>
    <row r="13" spans="1:10">
      <c r="B13" s="382" t="s">
        <v>786</v>
      </c>
      <c r="C13" s="285" t="s">
        <v>798</v>
      </c>
    </row>
    <row r="14" spans="1:10">
      <c r="B14" s="382" t="s">
        <v>786</v>
      </c>
      <c r="C14" s="285" t="s">
        <v>799</v>
      </c>
      <c r="D14" s="285" t="s">
        <v>800</v>
      </c>
    </row>
    <row r="15" spans="1:10">
      <c r="B15" s="382" t="s">
        <v>787</v>
      </c>
      <c r="C15" s="285" t="s">
        <v>801</v>
      </c>
    </row>
    <row r="16" spans="1:10">
      <c r="B16" s="382" t="s">
        <v>787</v>
      </c>
      <c r="C16" s="285" t="s">
        <v>805</v>
      </c>
    </row>
    <row r="17" spans="2:4">
      <c r="B17" s="382" t="s">
        <v>787</v>
      </c>
      <c r="C17" s="285" t="s">
        <v>806</v>
      </c>
      <c r="D17" s="285" t="s">
        <v>807</v>
      </c>
    </row>
    <row r="18" spans="2:4">
      <c r="B18" s="382" t="s">
        <v>787</v>
      </c>
      <c r="C18" s="285" t="s">
        <v>808</v>
      </c>
      <c r="D18" s="285" t="s">
        <v>809</v>
      </c>
    </row>
    <row r="19" spans="2:4">
      <c r="B19" s="382" t="s">
        <v>603</v>
      </c>
      <c r="C19" s="285" t="s">
        <v>847</v>
      </c>
    </row>
    <row r="20" spans="2:4">
      <c r="B20" s="382" t="s">
        <v>502</v>
      </c>
      <c r="C20" s="285" t="s">
        <v>846</v>
      </c>
    </row>
    <row r="21" spans="2:4">
      <c r="B21" s="383" t="s">
        <v>605</v>
      </c>
      <c r="C21" s="285" t="s">
        <v>857</v>
      </c>
    </row>
    <row r="22" spans="2:4">
      <c r="B22" s="383" t="s">
        <v>605</v>
      </c>
      <c r="C22" s="285" t="s">
        <v>850</v>
      </c>
      <c r="D22" s="285" t="s">
        <v>849</v>
      </c>
    </row>
    <row r="23" spans="2:4">
      <c r="B23" s="383" t="s">
        <v>810</v>
      </c>
      <c r="C23" s="285" t="s">
        <v>811</v>
      </c>
    </row>
    <row r="24" spans="2:4">
      <c r="B24" s="383" t="s">
        <v>618</v>
      </c>
      <c r="C24" s="285" t="s">
        <v>813</v>
      </c>
      <c r="D24" s="285" t="s">
        <v>812</v>
      </c>
    </row>
    <row r="25" spans="2:4">
      <c r="B25" s="383" t="s">
        <v>618</v>
      </c>
      <c r="C25" s="285" t="s">
        <v>814</v>
      </c>
      <c r="D25" s="285" t="s">
        <v>815</v>
      </c>
    </row>
    <row r="26" spans="2:4">
      <c r="B26" s="383" t="s">
        <v>71</v>
      </c>
      <c r="C26" s="285" t="s">
        <v>856</v>
      </c>
    </row>
    <row r="27" spans="2:4">
      <c r="B27" s="385" t="s">
        <v>608</v>
      </c>
      <c r="C27" s="285" t="s">
        <v>816</v>
      </c>
    </row>
    <row r="28" spans="2:4">
      <c r="B28" s="385" t="s">
        <v>609</v>
      </c>
      <c r="C28" s="285" t="s">
        <v>817</v>
      </c>
      <c r="D28" s="285" t="s">
        <v>818</v>
      </c>
    </row>
    <row r="29" spans="2:4">
      <c r="B29" s="385" t="s">
        <v>609</v>
      </c>
      <c r="C29" s="285" t="s">
        <v>819</v>
      </c>
      <c r="D29" s="285" t="s">
        <v>820</v>
      </c>
    </row>
    <row r="30" spans="2:4">
      <c r="B30" s="385" t="s">
        <v>609</v>
      </c>
      <c r="C30" s="285" t="s">
        <v>855</v>
      </c>
    </row>
    <row r="31" spans="2:4">
      <c r="B31" s="385" t="s">
        <v>609</v>
      </c>
      <c r="C31" s="285" t="s">
        <v>821</v>
      </c>
      <c r="D31" s="285" t="s">
        <v>822</v>
      </c>
    </row>
    <row r="32" spans="2:4">
      <c r="B32" s="385" t="s">
        <v>609</v>
      </c>
      <c r="C32" s="285" t="s">
        <v>851</v>
      </c>
    </row>
    <row r="33" spans="2:4">
      <c r="B33" s="385" t="s">
        <v>593</v>
      </c>
      <c r="C33" s="285" t="s">
        <v>823</v>
      </c>
      <c r="D33" s="285" t="s">
        <v>824</v>
      </c>
    </row>
    <row r="34" spans="2:4">
      <c r="B34" s="386" t="s">
        <v>400</v>
      </c>
      <c r="C34" s="285" t="s">
        <v>825</v>
      </c>
      <c r="D34" s="285" t="s">
        <v>826</v>
      </c>
    </row>
    <row r="35" spans="2:4">
      <c r="B35" s="386" t="s">
        <v>400</v>
      </c>
      <c r="C35" s="285" t="s">
        <v>827</v>
      </c>
      <c r="D35" s="285" t="s">
        <v>828</v>
      </c>
    </row>
    <row r="36" spans="2:4">
      <c r="B36" s="387" t="s">
        <v>611</v>
      </c>
      <c r="C36" s="285" t="s">
        <v>829</v>
      </c>
      <c r="D36" s="285" t="s">
        <v>830</v>
      </c>
    </row>
    <row r="37" spans="2:4">
      <c r="B37" s="368" t="s">
        <v>852</v>
      </c>
      <c r="C37" s="285" t="s">
        <v>853</v>
      </c>
    </row>
    <row r="38" spans="2:4">
      <c r="B38" s="368" t="s">
        <v>628</v>
      </c>
      <c r="C38" s="285" t="s">
        <v>813</v>
      </c>
      <c r="D38" s="285" t="s">
        <v>812</v>
      </c>
    </row>
  </sheetData>
  <pageMargins left="0.7" right="0.7" top="0.75" bottom="0.75" header="0.3" footer="0.3"/>
  <pageSetup paperSize="9" orientation="portrait" horizont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R112"/>
  <sheetViews>
    <sheetView showGridLines="0" zoomScale="70" zoomScaleNormal="80" workbookViewId="0"/>
  </sheetViews>
  <sheetFormatPr defaultColWidth="8.6640625" defaultRowHeight="14.25"/>
  <cols>
    <col min="1" max="1" width="31" customWidth="1"/>
    <col min="2" max="2" width="15" customWidth="1"/>
    <col min="3" max="3" width="14" customWidth="1"/>
    <col min="4" max="18" width="9.6640625" customWidth="1"/>
  </cols>
  <sheetData>
    <row r="1" spans="1:18" ht="18">
      <c r="A1" s="256" t="s">
        <v>590</v>
      </c>
      <c r="B1" s="256"/>
      <c r="C1" s="257"/>
    </row>
    <row r="3" spans="1:18">
      <c r="A3" s="65" t="s">
        <v>329</v>
      </c>
      <c r="B3" s="1" t="s">
        <v>10</v>
      </c>
      <c r="C3" s="1" t="s">
        <v>11</v>
      </c>
      <c r="D3" s="236" t="s">
        <v>35</v>
      </c>
      <c r="E3" s="236" t="s">
        <v>36</v>
      </c>
      <c r="F3" s="236" t="s">
        <v>37</v>
      </c>
      <c r="G3" s="236" t="s">
        <v>15</v>
      </c>
      <c r="H3" s="236" t="s">
        <v>16</v>
      </c>
      <c r="I3" s="236" t="s">
        <v>0</v>
      </c>
      <c r="J3" s="236" t="s">
        <v>1</v>
      </c>
      <c r="K3" s="236" t="s">
        <v>2</v>
      </c>
      <c r="L3" s="236" t="s">
        <v>3</v>
      </c>
      <c r="M3" s="236" t="s">
        <v>4</v>
      </c>
      <c r="N3" s="236" t="s">
        <v>5</v>
      </c>
      <c r="O3" s="236" t="s">
        <v>6</v>
      </c>
      <c r="P3" s="236" t="s">
        <v>7</v>
      </c>
      <c r="Q3" s="236" t="s">
        <v>8</v>
      </c>
      <c r="R3" s="236" t="s">
        <v>9</v>
      </c>
    </row>
    <row r="4" spans="1:18">
      <c r="A4" s="232" t="s">
        <v>322</v>
      </c>
      <c r="B4" s="63" t="s">
        <v>40</v>
      </c>
      <c r="C4" t="s">
        <v>52</v>
      </c>
      <c r="D4" s="234">
        <f>RAB!D384</f>
        <v>18916.576112074305</v>
      </c>
      <c r="E4" s="234">
        <f>RAB!E384</f>
        <v>17191.074126635736</v>
      </c>
      <c r="F4" s="234">
        <f>RAB!F384</f>
        <v>15438.145893995457</v>
      </c>
      <c r="G4" s="234">
        <f>RAB!G384</f>
        <v>12329.246935164629</v>
      </c>
      <c r="H4" s="234">
        <f>RAB!H384</f>
        <v>10118.337764552385</v>
      </c>
      <c r="I4" s="234">
        <f>RAB!I384</f>
        <v>6574.2342859411483</v>
      </c>
      <c r="J4" s="234">
        <f>RAB!J384</f>
        <v>4364.2353850906911</v>
      </c>
      <c r="K4" s="234">
        <f>RAB!K384</f>
        <v>3643.2328480082715</v>
      </c>
      <c r="L4" s="234">
        <f>RAB!L384</f>
        <v>3050.5724227260262</v>
      </c>
      <c r="M4" s="234">
        <f>RAB!M384</f>
        <v>2516.952699315163</v>
      </c>
      <c r="N4" s="234">
        <f>RAB!N384</f>
        <v>2237.376475921355</v>
      </c>
      <c r="O4" s="234">
        <f>RAB!O384</f>
        <v>5975.262271371229</v>
      </c>
      <c r="P4" s="234">
        <f>RAB!P384</f>
        <v>9081.7467420170815</v>
      </c>
      <c r="Q4" s="234">
        <f>RAB!Q384</f>
        <v>9252.7461717100723</v>
      </c>
      <c r="R4" s="234">
        <f>RAB!R384</f>
        <v>8800.010024332063</v>
      </c>
    </row>
    <row r="5" spans="1:18">
      <c r="A5" s="232" t="s">
        <v>59</v>
      </c>
      <c r="B5" s="63" t="s">
        <v>40</v>
      </c>
      <c r="C5" t="s">
        <v>52</v>
      </c>
      <c r="D5" s="234">
        <f>RAB!D385</f>
        <v>928.97307001795321</v>
      </c>
      <c r="E5" s="234">
        <f>RAB!E385</f>
        <v>1295.2199281867145</v>
      </c>
      <c r="F5" s="234">
        <f>RAB!F385</f>
        <v>274.36041292639135</v>
      </c>
      <c r="G5" s="234">
        <f>RAB!G385</f>
        <v>1589.5175044883301</v>
      </c>
      <c r="H5" s="234">
        <f>RAB!H385</f>
        <v>422.66606822262116</v>
      </c>
      <c r="I5" s="234">
        <f>RAB!I385</f>
        <v>1187.4489636292531</v>
      </c>
      <c r="J5" s="234">
        <f>RAB!J385</f>
        <v>1070.5458740711774</v>
      </c>
      <c r="K5" s="234">
        <f>RAB!K385</f>
        <v>782.0725459522879</v>
      </c>
      <c r="L5" s="234">
        <f>RAB!L385</f>
        <v>1290.4522096206495</v>
      </c>
      <c r="M5" s="234">
        <f>RAB!M385</f>
        <v>1654.4318410246383</v>
      </c>
      <c r="N5" s="234">
        <f>RAB!N385</f>
        <v>5043.7169091601991</v>
      </c>
      <c r="O5" s="234">
        <f>RAB!O385</f>
        <v>5150.6671264546167</v>
      </c>
      <c r="P5" s="234">
        <f>RAB!P385</f>
        <v>2857.7520651695063</v>
      </c>
      <c r="Q5" s="234">
        <f>RAB!Q385</f>
        <v>2623.7492639781913</v>
      </c>
      <c r="R5" s="234">
        <f>RAB!R385</f>
        <v>2487.1933905334349</v>
      </c>
    </row>
    <row r="6" spans="1:18">
      <c r="A6" s="232" t="s">
        <v>60</v>
      </c>
      <c r="B6" s="63" t="s">
        <v>40</v>
      </c>
      <c r="C6" t="s">
        <v>52</v>
      </c>
      <c r="D6" s="234">
        <f>RAB!D386</f>
        <v>3228.6923767998187</v>
      </c>
      <c r="E6" s="234">
        <f>RAB!E386</f>
        <v>3481.2825145663446</v>
      </c>
      <c r="F6" s="234">
        <f>RAB!F386</f>
        <v>3682.2086521562064</v>
      </c>
      <c r="G6" s="234">
        <f>RAB!G386</f>
        <v>3890.6289109861195</v>
      </c>
      <c r="H6" s="234">
        <f>RAB!H386</f>
        <v>4052.2798627183256</v>
      </c>
      <c r="I6" s="234">
        <f>RAB!I386</f>
        <v>3545.8254163748843</v>
      </c>
      <c r="J6" s="234">
        <f>RAB!J386</f>
        <v>1910.0804773562256</v>
      </c>
      <c r="K6" s="234">
        <f>RAB!K386</f>
        <v>1464.7047463669803</v>
      </c>
      <c r="L6" s="234">
        <f>RAB!L386</f>
        <v>1861.9208458031699</v>
      </c>
      <c r="M6" s="234">
        <f>RAB!M386</f>
        <v>1977.8781913972966</v>
      </c>
      <c r="N6" s="234">
        <f>RAB!N386</f>
        <v>1422.99311903133</v>
      </c>
      <c r="O6" s="234">
        <f>RAB!O386</f>
        <v>2222.2561213385111</v>
      </c>
      <c r="P6" s="234">
        <f>RAB!P386</f>
        <v>2868.179031000242</v>
      </c>
      <c r="Q6" s="234">
        <f>RAB!Q386</f>
        <v>3249.034627519577</v>
      </c>
      <c r="R6" s="234">
        <f>RAB!R386</f>
        <v>3503.0428777835168</v>
      </c>
    </row>
    <row r="7" spans="1:18">
      <c r="A7" s="232" t="s">
        <v>323</v>
      </c>
      <c r="B7" s="63" t="s">
        <v>40</v>
      </c>
      <c r="C7" t="s">
        <v>52</v>
      </c>
      <c r="D7" s="234">
        <f>RAB!D387</f>
        <v>16616.856805292438</v>
      </c>
      <c r="E7" s="234">
        <f>RAB!E387</f>
        <v>15005.011540256108</v>
      </c>
      <c r="F7" s="234">
        <f>RAB!F387</f>
        <v>12030.297654765644</v>
      </c>
      <c r="G7" s="234">
        <f>RAB!G387</f>
        <v>10028.13552866684</v>
      </c>
      <c r="H7" s="234">
        <f>RAB!H387</f>
        <v>6488.7239700566797</v>
      </c>
      <c r="I7" s="234">
        <f>RAB!I387</f>
        <v>4215.8578331955159</v>
      </c>
      <c r="J7" s="234">
        <f>RAB!J387</f>
        <v>3524.7007818056427</v>
      </c>
      <c r="K7" s="234">
        <f>RAB!K387</f>
        <v>2960.6006475935792</v>
      </c>
      <c r="L7" s="234">
        <f>RAB!L387</f>
        <v>2479.103786543506</v>
      </c>
      <c r="M7" s="234">
        <f>RAB!M387</f>
        <v>2193.5063489425047</v>
      </c>
      <c r="N7" s="234">
        <f>RAB!N387</f>
        <v>5858.1002660502245</v>
      </c>
      <c r="O7" s="234">
        <f>RAB!O387</f>
        <v>8903.6732764873359</v>
      </c>
      <c r="P7" s="234">
        <f>RAB!P387</f>
        <v>9071.3197761863448</v>
      </c>
      <c r="Q7" s="234">
        <f>RAB!Q387</f>
        <v>8627.4608081686874</v>
      </c>
      <c r="R7" s="234">
        <f>RAB!R387</f>
        <v>7784.1605370819807</v>
      </c>
    </row>
    <row r="8" spans="1:18">
      <c r="A8" s="232" t="s">
        <v>236</v>
      </c>
      <c r="B8" s="63" t="s">
        <v>40</v>
      </c>
      <c r="C8" t="s">
        <v>52</v>
      </c>
      <c r="D8" s="234">
        <f>RAB!D388</f>
        <v>17766.716458683368</v>
      </c>
      <c r="E8" s="234">
        <f>RAB!E388</f>
        <v>16098.042833445921</v>
      </c>
      <c r="F8" s="234">
        <f>RAB!F388</f>
        <v>13734.22177438055</v>
      </c>
      <c r="G8" s="234">
        <f>RAB!G388</f>
        <v>11178.691231915735</v>
      </c>
      <c r="H8" s="234">
        <f>RAB!H388</f>
        <v>8303.5308673045311</v>
      </c>
      <c r="I8" s="234">
        <f>RAB!I388</f>
        <v>5395.0460595683317</v>
      </c>
      <c r="J8" s="234">
        <f>RAB!J388</f>
        <v>3944.4680834481665</v>
      </c>
      <c r="K8" s="234">
        <f>RAB!K388</f>
        <v>3301.9167478009254</v>
      </c>
      <c r="L8" s="234">
        <f>RAB!L388</f>
        <v>2764.8381046347663</v>
      </c>
      <c r="M8" s="234">
        <f>RAB!M388</f>
        <v>2355.2295241288339</v>
      </c>
      <c r="N8" s="234">
        <f>RAB!N388</f>
        <v>4047.73837098579</v>
      </c>
      <c r="O8" s="234">
        <f>RAB!O388</f>
        <v>7439.467773929282</v>
      </c>
      <c r="P8" s="234">
        <f>RAB!P388</f>
        <v>9076.5332591017141</v>
      </c>
      <c r="Q8" s="234">
        <f>RAB!Q388</f>
        <v>8940.1034899393817</v>
      </c>
      <c r="R8" s="234">
        <f>RAB!R388</f>
        <v>8292.0852807070223</v>
      </c>
    </row>
    <row r="9" spans="1:18">
      <c r="A9" s="63"/>
      <c r="B9" s="63"/>
      <c r="C9" s="63"/>
      <c r="D9" s="63"/>
      <c r="E9" s="63"/>
      <c r="F9" s="63"/>
      <c r="G9" s="63"/>
      <c r="H9" s="63"/>
      <c r="I9" s="63"/>
      <c r="J9" s="63"/>
      <c r="K9" s="63"/>
      <c r="L9" s="63"/>
      <c r="M9" s="63"/>
      <c r="N9" s="63"/>
      <c r="O9" s="63"/>
      <c r="P9" s="63"/>
      <c r="Q9" s="63"/>
      <c r="R9" s="63"/>
    </row>
    <row r="10" spans="1:18">
      <c r="A10" s="65" t="s">
        <v>330</v>
      </c>
      <c r="B10" s="1" t="s">
        <v>10</v>
      </c>
      <c r="C10" s="1" t="s">
        <v>11</v>
      </c>
      <c r="D10" s="236" t="s">
        <v>35</v>
      </c>
      <c r="E10" s="236" t="s">
        <v>36</v>
      </c>
      <c r="F10" s="236" t="s">
        <v>37</v>
      </c>
      <c r="G10" s="236" t="s">
        <v>15</v>
      </c>
      <c r="H10" s="236" t="s">
        <v>16</v>
      </c>
      <c r="I10" s="236" t="s">
        <v>0</v>
      </c>
      <c r="J10" s="236" t="s">
        <v>1</v>
      </c>
      <c r="K10" s="236" t="s">
        <v>2</v>
      </c>
      <c r="L10" s="236" t="s">
        <v>3</v>
      </c>
      <c r="M10" s="236" t="s">
        <v>4</v>
      </c>
      <c r="N10" s="236" t="s">
        <v>5</v>
      </c>
      <c r="O10" s="236" t="s">
        <v>6</v>
      </c>
      <c r="P10" s="236" t="s">
        <v>7</v>
      </c>
      <c r="Q10" s="236" t="s">
        <v>8</v>
      </c>
      <c r="R10" s="236" t="s">
        <v>9</v>
      </c>
    </row>
    <row r="11" spans="1:18">
      <c r="A11" s="232" t="s">
        <v>322</v>
      </c>
      <c r="B11" s="63" t="s">
        <v>40</v>
      </c>
      <c r="C11" t="s">
        <v>52</v>
      </c>
      <c r="D11" s="234">
        <f>RAB!D391</f>
        <v>0</v>
      </c>
      <c r="E11" s="234">
        <f>RAB!E391</f>
        <v>1351.447710951526</v>
      </c>
      <c r="F11" s="234">
        <f>RAB!F391</f>
        <v>2724.1637342908439</v>
      </c>
      <c r="G11" s="234">
        <f>RAB!G391</f>
        <v>2675.5309515260324</v>
      </c>
      <c r="H11" s="234">
        <f>RAB!H391</f>
        <v>2582.2233393177739</v>
      </c>
      <c r="I11" s="234">
        <f>RAB!I391</f>
        <v>2497.3320646319571</v>
      </c>
      <c r="J11" s="234">
        <f>RAB!J391</f>
        <v>2521.4164992726342</v>
      </c>
      <c r="K11" s="234">
        <f>RAB!K391</f>
        <v>2488.6356332250848</v>
      </c>
      <c r="L11" s="234">
        <f>RAB!L391</f>
        <v>2458.0572819004556</v>
      </c>
      <c r="M11" s="234">
        <f>RAB!M391</f>
        <v>2372.8221649837687</v>
      </c>
      <c r="N11" s="234">
        <f>RAB!N391</f>
        <v>2267.3486011694526</v>
      </c>
      <c r="O11" s="234">
        <f>RAB!O391</f>
        <v>2224.1466106511803</v>
      </c>
      <c r="P11" s="234">
        <f>RAB!P391</f>
        <v>2176.274567068735</v>
      </c>
      <c r="Q11" s="234">
        <f>RAB!Q391</f>
        <v>2083.3731696780774</v>
      </c>
      <c r="R11" s="234">
        <f>RAB!R391</f>
        <v>1985.4394698540832</v>
      </c>
    </row>
    <row r="12" spans="1:18">
      <c r="A12" s="232" t="s">
        <v>59</v>
      </c>
      <c r="B12" s="63" t="s">
        <v>40</v>
      </c>
      <c r="C12" t="s">
        <v>52</v>
      </c>
      <c r="D12" s="234">
        <f>RAB!D392</f>
        <v>1332.9658886894074</v>
      </c>
      <c r="E12" s="234">
        <f>RAB!E392</f>
        <v>1379.0282764811491</v>
      </c>
      <c r="F12" s="234">
        <f>RAB!F392</f>
        <v>0</v>
      </c>
      <c r="G12" s="234">
        <f>RAB!G392</f>
        <v>0</v>
      </c>
      <c r="H12" s="234">
        <f>RAB!H392</f>
        <v>0</v>
      </c>
      <c r="I12" s="234">
        <f>RAB!I392</f>
        <v>98</v>
      </c>
      <c r="J12" s="234">
        <f>RAB!J392</f>
        <v>13</v>
      </c>
      <c r="K12" s="234">
        <f>RAB!K392</f>
        <v>8.5</v>
      </c>
      <c r="L12" s="234">
        <f>RAB!L392</f>
        <v>19.5</v>
      </c>
      <c r="M12" s="234">
        <f>RAB!M392</f>
        <v>0</v>
      </c>
      <c r="N12" s="234">
        <f>RAB!N392</f>
        <v>48.900278810408921</v>
      </c>
      <c r="O12" s="234">
        <f>RAB!O392</f>
        <v>49.878284386617096</v>
      </c>
      <c r="P12" s="234">
        <f>RAB!P392</f>
        <v>10.710705278810408</v>
      </c>
      <c r="Q12" s="234">
        <f>RAB!Q392</f>
        <v>10.924919384386618</v>
      </c>
      <c r="R12" s="234">
        <f>RAB!R392</f>
        <v>11.143417772074351</v>
      </c>
    </row>
    <row r="13" spans="1:18">
      <c r="A13" s="232" t="s">
        <v>60</v>
      </c>
      <c r="B13" s="63" t="s">
        <v>40</v>
      </c>
      <c r="C13" t="s">
        <v>52</v>
      </c>
      <c r="D13" s="234">
        <f>RAB!D393</f>
        <v>26.65931777378815</v>
      </c>
      <c r="E13" s="234">
        <f>RAB!E393</f>
        <v>82.741696588868948</v>
      </c>
      <c r="F13" s="234">
        <f>RAB!F393</f>
        <v>113.50682226211849</v>
      </c>
      <c r="G13" s="234">
        <f>RAB!G393</f>
        <v>116.32743267504488</v>
      </c>
      <c r="H13" s="234">
        <f>RAB!H393</f>
        <v>117.3737881508079</v>
      </c>
      <c r="I13" s="234">
        <f>RAB!I393</f>
        <v>159.63999918529629</v>
      </c>
      <c r="J13" s="234">
        <f>RAB!J393</f>
        <v>126.74827492258814</v>
      </c>
      <c r="K13" s="234">
        <f>RAB!K393</f>
        <v>111.57483604410805</v>
      </c>
      <c r="L13" s="234">
        <f>RAB!L393</f>
        <v>140.41665323223285</v>
      </c>
      <c r="M13" s="234">
        <f>RAB!M393</f>
        <v>149.93137952352154</v>
      </c>
      <c r="N13" s="234">
        <f>RAB!N393</f>
        <v>135.71298718458692</v>
      </c>
      <c r="O13" s="234">
        <f>RAB!O393</f>
        <v>140.42237830374333</v>
      </c>
      <c r="P13" s="234">
        <f>RAB!P393</f>
        <v>144.46255697688144</v>
      </c>
      <c r="Q13" s="234">
        <f>RAB!Q393</f>
        <v>147.78880489179451</v>
      </c>
      <c r="R13" s="234">
        <f>RAB!R393</f>
        <v>151.19031770051342</v>
      </c>
    </row>
    <row r="14" spans="1:18">
      <c r="A14" s="232" t="s">
        <v>323</v>
      </c>
      <c r="B14" s="63" t="s">
        <v>40</v>
      </c>
      <c r="C14" t="s">
        <v>52</v>
      </c>
      <c r="D14" s="234">
        <f>RAB!D394</f>
        <v>1306.3065709156192</v>
      </c>
      <c r="E14" s="234">
        <f>RAB!E394</f>
        <v>2647.7342908438063</v>
      </c>
      <c r="F14" s="234">
        <f>RAB!F394</f>
        <v>2610.6569120287254</v>
      </c>
      <c r="G14" s="234">
        <f>RAB!G394</f>
        <v>2559.2035188509876</v>
      </c>
      <c r="H14" s="234">
        <f>RAB!H394</f>
        <v>2464.8495511669662</v>
      </c>
      <c r="I14" s="234">
        <f>RAB!I394</f>
        <v>2435.6920654466612</v>
      </c>
      <c r="J14" s="234">
        <f>RAB!J394</f>
        <v>2407.6682243500463</v>
      </c>
      <c r="K14" s="234">
        <f>RAB!K394</f>
        <v>2385.5607971809768</v>
      </c>
      <c r="L14" s="234">
        <f>RAB!L394</f>
        <v>2337.1406286682231</v>
      </c>
      <c r="M14" s="234">
        <f>RAB!M394</f>
        <v>2222.8907854602471</v>
      </c>
      <c r="N14" s="234">
        <f>RAB!N394</f>
        <v>2180.5358927952748</v>
      </c>
      <c r="O14" s="234">
        <f>RAB!O394</f>
        <v>2133.602516734054</v>
      </c>
      <c r="P14" s="234">
        <f>RAB!P394</f>
        <v>2042.5227153706639</v>
      </c>
      <c r="Q14" s="234">
        <f>RAB!Q394</f>
        <v>1946.5092841706696</v>
      </c>
      <c r="R14" s="234">
        <f>RAB!R394</f>
        <v>1845.392569925644</v>
      </c>
    </row>
    <row r="15" spans="1:18">
      <c r="A15" s="232" t="s">
        <v>236</v>
      </c>
      <c r="B15" s="63" t="s">
        <v>40</v>
      </c>
      <c r="C15" t="s">
        <v>52</v>
      </c>
      <c r="D15" s="234">
        <f>RAB!D395</f>
        <v>653.1532854578096</v>
      </c>
      <c r="E15" s="234">
        <f>RAB!E395</f>
        <v>1999.5910008976659</v>
      </c>
      <c r="F15" s="234">
        <f>RAB!F395</f>
        <v>2667.4103231597851</v>
      </c>
      <c r="G15" s="234">
        <f>RAB!G395</f>
        <v>2617.3672351885098</v>
      </c>
      <c r="H15" s="234">
        <f>RAB!H395</f>
        <v>2523.5364452423705</v>
      </c>
      <c r="I15" s="234">
        <f>RAB!I395</f>
        <v>2466.5120650393096</v>
      </c>
      <c r="J15" s="234">
        <f>RAB!J395</f>
        <v>2464.54236181134</v>
      </c>
      <c r="K15" s="234">
        <f>RAB!K395</f>
        <v>2437.0982152030306</v>
      </c>
      <c r="L15" s="234">
        <f>RAB!L395</f>
        <v>2397.5989552843394</v>
      </c>
      <c r="M15" s="234">
        <f>RAB!M395</f>
        <v>2297.8564752220077</v>
      </c>
      <c r="N15" s="234">
        <f>RAB!N395</f>
        <v>2223.9422469823639</v>
      </c>
      <c r="O15" s="234">
        <f>RAB!O395</f>
        <v>2178.8745636926174</v>
      </c>
      <c r="P15" s="234">
        <f>RAB!P395</f>
        <v>2109.3986412196996</v>
      </c>
      <c r="Q15" s="234">
        <f>RAB!Q395</f>
        <v>2014.9412269243735</v>
      </c>
      <c r="R15" s="234">
        <f>RAB!R395</f>
        <v>1915.4160198898635</v>
      </c>
    </row>
    <row r="16" spans="1:18">
      <c r="A16" s="63"/>
      <c r="B16" s="63"/>
      <c r="C16" s="63"/>
      <c r="D16" s="63"/>
      <c r="E16" s="63"/>
      <c r="F16" s="63"/>
      <c r="G16" s="63"/>
      <c r="H16" s="63"/>
      <c r="I16" s="63"/>
      <c r="J16" s="63"/>
      <c r="K16" s="63"/>
      <c r="L16" s="63"/>
      <c r="M16" s="63"/>
      <c r="N16" s="63"/>
      <c r="O16" s="63"/>
      <c r="P16" s="63"/>
      <c r="Q16" s="63"/>
      <c r="R16" s="63"/>
    </row>
    <row r="17" spans="1:18">
      <c r="A17" s="65" t="s">
        <v>338</v>
      </c>
      <c r="B17" s="1" t="s">
        <v>10</v>
      </c>
      <c r="C17" s="1" t="s">
        <v>11</v>
      </c>
      <c r="D17" s="236" t="s">
        <v>35</v>
      </c>
      <c r="E17" s="236" t="s">
        <v>36</v>
      </c>
      <c r="F17" s="236" t="s">
        <v>37</v>
      </c>
      <c r="G17" s="236" t="s">
        <v>15</v>
      </c>
      <c r="H17" s="236" t="s">
        <v>16</v>
      </c>
      <c r="I17" s="236" t="s">
        <v>0</v>
      </c>
      <c r="J17" s="236" t="s">
        <v>1</v>
      </c>
      <c r="K17" s="236" t="s">
        <v>2</v>
      </c>
      <c r="L17" s="236" t="s">
        <v>3</v>
      </c>
      <c r="M17" s="236" t="s">
        <v>4</v>
      </c>
      <c r="N17" s="236" t="s">
        <v>5</v>
      </c>
      <c r="O17" s="236" t="s">
        <v>6</v>
      </c>
      <c r="P17" s="236" t="s">
        <v>7</v>
      </c>
      <c r="Q17" s="236" t="s">
        <v>8</v>
      </c>
      <c r="R17" s="236" t="s">
        <v>9</v>
      </c>
    </row>
    <row r="18" spans="1:18">
      <c r="A18" s="232" t="s">
        <v>322</v>
      </c>
      <c r="B18" s="63" t="s">
        <v>40</v>
      </c>
      <c r="C18" t="s">
        <v>52</v>
      </c>
      <c r="D18" s="234">
        <f>RAB!D398</f>
        <v>0</v>
      </c>
      <c r="E18" s="234">
        <f>RAB!E398</f>
        <v>0</v>
      </c>
      <c r="F18" s="234">
        <f>RAB!F398</f>
        <v>0</v>
      </c>
      <c r="G18" s="234">
        <f>RAB!G398</f>
        <v>0</v>
      </c>
      <c r="H18" s="234">
        <f>RAB!H398</f>
        <v>0</v>
      </c>
      <c r="I18" s="234">
        <f>RAB!I398</f>
        <v>1550.8165819319515</v>
      </c>
      <c r="J18" s="234">
        <f>RAB!J398</f>
        <v>3426.0607013517019</v>
      </c>
      <c r="K18" s="234">
        <f>RAB!K398</f>
        <v>6280.930854760084</v>
      </c>
      <c r="L18" s="234">
        <f>RAB!L398</f>
        <v>8351.7178275710266</v>
      </c>
      <c r="M18" s="234">
        <f>RAB!M398</f>
        <v>9864.2560467844633</v>
      </c>
      <c r="N18" s="234">
        <f>RAB!N398</f>
        <v>12490.074496664913</v>
      </c>
      <c r="O18" s="234">
        <f>RAB!O398</f>
        <v>17102.945593815828</v>
      </c>
      <c r="P18" s="234">
        <f>RAB!P398</f>
        <v>20656.312879397265</v>
      </c>
      <c r="Q18" s="234">
        <f>RAB!Q398</f>
        <v>22803.904549802857</v>
      </c>
      <c r="R18" s="234">
        <f>RAB!R398</f>
        <v>16766.404518057505</v>
      </c>
    </row>
    <row r="19" spans="1:18">
      <c r="A19" s="232" t="s">
        <v>59</v>
      </c>
      <c r="B19" s="63" t="s">
        <v>40</v>
      </c>
      <c r="C19" t="s">
        <v>52</v>
      </c>
      <c r="D19" s="234">
        <f>RAB!D399</f>
        <v>0</v>
      </c>
      <c r="E19" s="234">
        <f>RAB!E399</f>
        <v>0</v>
      </c>
      <c r="F19" s="234">
        <f>RAB!F399</f>
        <v>0</v>
      </c>
      <c r="G19" s="234">
        <f>RAB!G399</f>
        <v>0</v>
      </c>
      <c r="H19" s="234">
        <f>RAB!H399</f>
        <v>1530.6452874462261</v>
      </c>
      <c r="I19" s="234">
        <f>RAB!I399</f>
        <v>1758.7631199650732</v>
      </c>
      <c r="J19" s="234">
        <f>RAB!J399</f>
        <v>2650.520955059018</v>
      </c>
      <c r="K19" s="234">
        <f>RAB!K399</f>
        <v>1824.4663567999996</v>
      </c>
      <c r="L19" s="234">
        <f>RAB!L399</f>
        <v>1364.203541818182</v>
      </c>
      <c r="M19" s="234">
        <f>RAB!M399</f>
        <v>3531.4389688309088</v>
      </c>
      <c r="N19" s="234">
        <f>RAB!N399</f>
        <v>5223.8485050042891</v>
      </c>
      <c r="O19" s="234">
        <f>RAB!O399</f>
        <v>4190.9794292650849</v>
      </c>
      <c r="P19" s="234">
        <f>RAB!P399</f>
        <v>3534.1949428409498</v>
      </c>
      <c r="Q19" s="234">
        <f>RAB!Q399</f>
        <v>3041.6236133753628</v>
      </c>
      <c r="R19" s="234">
        <f>RAB!R399</f>
        <v>2395.5348059021217</v>
      </c>
    </row>
    <row r="20" spans="1:18">
      <c r="A20" s="232" t="s">
        <v>63</v>
      </c>
      <c r="B20" s="63" t="s">
        <v>40</v>
      </c>
      <c r="C20" t="s">
        <v>52</v>
      </c>
      <c r="D20" s="234">
        <f>RAB!D400</f>
        <v>0</v>
      </c>
      <c r="E20" s="234">
        <f>RAB!E400</f>
        <v>0</v>
      </c>
      <c r="F20" s="234">
        <f>RAB!F400</f>
        <v>0</v>
      </c>
      <c r="G20" s="234">
        <f>RAB!G400</f>
        <v>0</v>
      </c>
      <c r="H20" s="234">
        <f>RAB!H400</f>
        <v>0</v>
      </c>
      <c r="I20" s="234">
        <f>RAB!I400</f>
        <v>0</v>
      </c>
      <c r="J20" s="234">
        <f>RAB!J400</f>
        <v>0</v>
      </c>
      <c r="K20" s="234">
        <f>RAB!K400</f>
        <v>0</v>
      </c>
      <c r="L20" s="234">
        <f>RAB!L400</f>
        <v>0</v>
      </c>
      <c r="M20" s="234">
        <f>RAB!M400</f>
        <v>828.76868702290096</v>
      </c>
      <c r="N20" s="234">
        <f>RAB!N400</f>
        <v>946.32928224192153</v>
      </c>
      <c r="O20" s="234">
        <f>RAB!O400</f>
        <v>1042.6378864169287</v>
      </c>
      <c r="P20" s="234">
        <f>RAB!P400</f>
        <v>1833.7386557648272</v>
      </c>
      <c r="Q20" s="234">
        <f>RAB!Q400</f>
        <v>9407.876674886551</v>
      </c>
      <c r="R20" s="234">
        <f>RAB!R400</f>
        <v>10043.956743522549</v>
      </c>
    </row>
    <row r="21" spans="1:18">
      <c r="A21" s="232" t="s">
        <v>245</v>
      </c>
      <c r="B21" s="63" t="s">
        <v>40</v>
      </c>
      <c r="C21" t="s">
        <v>52</v>
      </c>
      <c r="D21" s="234">
        <f>RAB!D401</f>
        <v>0</v>
      </c>
      <c r="E21" s="234">
        <f>RAB!E401</f>
        <v>0</v>
      </c>
      <c r="F21" s="234">
        <f>RAB!F401</f>
        <v>0</v>
      </c>
      <c r="G21" s="234">
        <f>RAB!G401</f>
        <v>0</v>
      </c>
      <c r="H21" s="234">
        <f>RAB!H401</f>
        <v>0</v>
      </c>
      <c r="I21" s="234">
        <f>RAB!I401</f>
        <v>0</v>
      </c>
      <c r="J21" s="234">
        <f>RAB!J401</f>
        <v>0</v>
      </c>
      <c r="K21" s="234">
        <f>RAB!K401</f>
        <v>0</v>
      </c>
      <c r="L21" s="234">
        <f>RAB!L401</f>
        <v>0</v>
      </c>
      <c r="M21" s="234">
        <f>RAB!M401</f>
        <v>321.75525343079295</v>
      </c>
      <c r="N21" s="234">
        <f>RAB!N401</f>
        <v>0</v>
      </c>
      <c r="O21" s="234">
        <f>RAB!O401</f>
        <v>0</v>
      </c>
      <c r="P21" s="234">
        <f>RAB!P401</f>
        <v>0</v>
      </c>
      <c r="Q21" s="234">
        <f>RAB!Q401</f>
        <v>0</v>
      </c>
      <c r="R21" s="234">
        <f>RAB!R401</f>
        <v>0</v>
      </c>
    </row>
    <row r="22" spans="1:18">
      <c r="A22" s="232" t="s">
        <v>323</v>
      </c>
      <c r="B22" s="63" t="s">
        <v>40</v>
      </c>
      <c r="C22" t="s">
        <v>52</v>
      </c>
      <c r="D22" s="234">
        <f>RAB!D402</f>
        <v>0</v>
      </c>
      <c r="E22" s="234">
        <f>RAB!E402</f>
        <v>0</v>
      </c>
      <c r="F22" s="234">
        <f>RAB!F402</f>
        <v>0</v>
      </c>
      <c r="G22" s="234">
        <f>RAB!G402</f>
        <v>0</v>
      </c>
      <c r="H22" s="234">
        <f>RAB!H402</f>
        <v>1530.6452874462261</v>
      </c>
      <c r="I22" s="234">
        <f>RAB!I402</f>
        <v>3309.5797018970247</v>
      </c>
      <c r="J22" s="234">
        <f>RAB!J402</f>
        <v>6076.5816564107208</v>
      </c>
      <c r="K22" s="234">
        <f>RAB!K402</f>
        <v>8105.3972115600836</v>
      </c>
      <c r="L22" s="234">
        <f>RAB!L402</f>
        <v>9715.921369389207</v>
      </c>
      <c r="M22" s="234">
        <f>RAB!M402</f>
        <v>12245.171075161677</v>
      </c>
      <c r="N22" s="234">
        <f>RAB!N402</f>
        <v>16767.593719427281</v>
      </c>
      <c r="O22" s="234">
        <f>RAB!O402</f>
        <v>20251.287136663985</v>
      </c>
      <c r="P22" s="234">
        <f>RAB!P402</f>
        <v>22356.769166473387</v>
      </c>
      <c r="Q22" s="234">
        <f>RAB!Q402</f>
        <v>16437.651488291671</v>
      </c>
      <c r="R22" s="234">
        <f>RAB!R402</f>
        <v>9117.9825804370776</v>
      </c>
    </row>
    <row r="23" spans="1:18">
      <c r="A23" s="232" t="s">
        <v>236</v>
      </c>
      <c r="B23" s="63" t="s">
        <v>40</v>
      </c>
      <c r="C23" t="s">
        <v>52</v>
      </c>
      <c r="D23" s="234">
        <f>RAB!D403</f>
        <v>0</v>
      </c>
      <c r="E23" s="234">
        <f>RAB!E403</f>
        <v>0</v>
      </c>
      <c r="F23" s="234">
        <f>RAB!F403</f>
        <v>0</v>
      </c>
      <c r="G23" s="234">
        <f>RAB!G403</f>
        <v>0</v>
      </c>
      <c r="H23" s="234">
        <f>RAB!H403</f>
        <v>765.32264372311306</v>
      </c>
      <c r="I23" s="234">
        <f>RAB!I403</f>
        <v>2430.1981419144881</v>
      </c>
      <c r="J23" s="234">
        <f>RAB!J403</f>
        <v>4751.3211788812105</v>
      </c>
      <c r="K23" s="234">
        <f>RAB!K403</f>
        <v>7193.1640331600838</v>
      </c>
      <c r="L23" s="234">
        <f>RAB!L403</f>
        <v>9033.8195984801168</v>
      </c>
      <c r="M23" s="234">
        <f>RAB!M403</f>
        <v>11054.713560973069</v>
      </c>
      <c r="N23" s="234">
        <f>RAB!N403</f>
        <v>14628.834108046098</v>
      </c>
      <c r="O23" s="234">
        <f>RAB!O403</f>
        <v>18677.116365239905</v>
      </c>
      <c r="P23" s="234">
        <f>RAB!P403</f>
        <v>21506.541022935322</v>
      </c>
      <c r="Q23" s="234">
        <f>RAB!Q403</f>
        <v>19620.778019047262</v>
      </c>
      <c r="R23" s="234">
        <f>RAB!R403</f>
        <v>12942.193549247291</v>
      </c>
    </row>
    <row r="24" spans="1:18">
      <c r="A24" s="63"/>
      <c r="B24" s="63"/>
      <c r="C24" s="63"/>
      <c r="D24" s="63"/>
      <c r="E24" s="63"/>
      <c r="F24" s="63"/>
      <c r="G24" s="63"/>
      <c r="H24" s="63"/>
      <c r="I24" s="63"/>
      <c r="J24" s="63"/>
      <c r="K24" s="63"/>
      <c r="L24" s="63"/>
      <c r="M24" s="63"/>
      <c r="N24" s="63"/>
      <c r="O24" s="63"/>
      <c r="P24" s="63"/>
      <c r="Q24" s="63"/>
      <c r="R24" s="63"/>
    </row>
    <row r="25" spans="1:18">
      <c r="A25" s="65" t="s">
        <v>335</v>
      </c>
      <c r="B25" s="1" t="s">
        <v>10</v>
      </c>
      <c r="C25" s="1" t="s">
        <v>11</v>
      </c>
      <c r="D25" s="236" t="s">
        <v>35</v>
      </c>
      <c r="E25" s="236" t="s">
        <v>36</v>
      </c>
      <c r="F25" s="236" t="s">
        <v>37</v>
      </c>
      <c r="G25" s="236" t="s">
        <v>15</v>
      </c>
      <c r="H25" s="236" t="s">
        <v>16</v>
      </c>
      <c r="I25" s="236" t="s">
        <v>0</v>
      </c>
      <c r="J25" s="236" t="s">
        <v>1</v>
      </c>
      <c r="K25" s="236" t="s">
        <v>2</v>
      </c>
      <c r="L25" s="236" t="s">
        <v>3</v>
      </c>
      <c r="M25" s="236" t="s">
        <v>4</v>
      </c>
      <c r="N25" s="236" t="s">
        <v>5</v>
      </c>
      <c r="O25" s="236" t="s">
        <v>6</v>
      </c>
      <c r="P25" s="236" t="s">
        <v>7</v>
      </c>
      <c r="Q25" s="236" t="s">
        <v>8</v>
      </c>
      <c r="R25" s="236" t="s">
        <v>9</v>
      </c>
    </row>
    <row r="26" spans="1:18">
      <c r="A26" s="232" t="s">
        <v>322</v>
      </c>
      <c r="B26" s="63" t="s">
        <v>40</v>
      </c>
      <c r="C26" t="s">
        <v>52</v>
      </c>
      <c r="D26" s="234">
        <f>RAB!D406</f>
        <v>0</v>
      </c>
      <c r="E26" s="234">
        <f>RAB!E406</f>
        <v>0</v>
      </c>
      <c r="F26" s="234">
        <f>RAB!F406</f>
        <v>0</v>
      </c>
      <c r="G26" s="234">
        <f>RAB!G406</f>
        <v>0</v>
      </c>
      <c r="H26" s="234">
        <f>RAB!H406</f>
        <v>0</v>
      </c>
      <c r="I26" s="234">
        <f>RAB!I406</f>
        <v>0</v>
      </c>
      <c r="J26" s="234">
        <f>RAB!J406</f>
        <v>0</v>
      </c>
      <c r="K26" s="234">
        <f>RAB!K406</f>
        <v>0</v>
      </c>
      <c r="L26" s="234">
        <f>RAB!L406</f>
        <v>0</v>
      </c>
      <c r="M26" s="234">
        <f>RAB!M406</f>
        <v>0</v>
      </c>
      <c r="N26" s="234">
        <f>RAB!N406</f>
        <v>21339.56429113185</v>
      </c>
      <c r="O26" s="234">
        <f>RAB!O406</f>
        <v>16450.774980113634</v>
      </c>
      <c r="P26" s="234">
        <f>RAB!P406</f>
        <v>11325.766155101805</v>
      </c>
      <c r="Q26" s="234">
        <f>RAB!Q406</f>
        <v>5956.4019089442991</v>
      </c>
      <c r="R26" s="234">
        <f>RAB!R406</f>
        <v>334.30253316222849</v>
      </c>
    </row>
    <row r="27" spans="1:18">
      <c r="A27" s="232" t="s">
        <v>59</v>
      </c>
      <c r="B27" s="63" t="s">
        <v>40</v>
      </c>
      <c r="C27" t="s">
        <v>52</v>
      </c>
      <c r="D27" s="234">
        <f>RAB!D407</f>
        <v>0</v>
      </c>
      <c r="E27" s="234">
        <f>RAB!E407</f>
        <v>0</v>
      </c>
      <c r="F27" s="234">
        <f>RAB!F407</f>
        <v>0</v>
      </c>
      <c r="G27" s="234">
        <f>RAB!G407</f>
        <v>0</v>
      </c>
      <c r="H27" s="234">
        <f>RAB!H407</f>
        <v>0</v>
      </c>
      <c r="I27" s="234">
        <f>RAB!I407</f>
        <v>0</v>
      </c>
      <c r="J27" s="234">
        <f>RAB!J407</f>
        <v>0</v>
      </c>
      <c r="K27" s="234">
        <f>RAB!K407</f>
        <v>0</v>
      </c>
      <c r="L27" s="234">
        <f>RAB!L407</f>
        <v>0</v>
      </c>
      <c r="M27" s="234">
        <f>RAB!M407</f>
        <v>26151.426827367457</v>
      </c>
      <c r="N27" s="234">
        <f>RAB!N407</f>
        <v>154.42193308550185</v>
      </c>
      <c r="O27" s="234">
        <f>RAB!O407</f>
        <v>157.51037174721188</v>
      </c>
      <c r="P27" s="234">
        <f>RAB!P407</f>
        <v>160.66057918215614</v>
      </c>
      <c r="Q27" s="234">
        <f>RAB!Q407</f>
        <v>163.87379076579927</v>
      </c>
      <c r="R27" s="234">
        <f>RAB!R407</f>
        <v>167.15126658111527</v>
      </c>
    </row>
    <row r="28" spans="1:18">
      <c r="A28" s="232" t="s">
        <v>60</v>
      </c>
      <c r="B28" s="63" t="s">
        <v>40</v>
      </c>
      <c r="C28" t="s">
        <v>52</v>
      </c>
      <c r="D28" s="234">
        <f>RAB!D408</f>
        <v>0</v>
      </c>
      <c r="E28" s="234">
        <f>RAB!E408</f>
        <v>0</v>
      </c>
      <c r="F28" s="234">
        <f>RAB!F408</f>
        <v>0</v>
      </c>
      <c r="G28" s="234">
        <f>RAB!G408</f>
        <v>0</v>
      </c>
      <c r="H28" s="234">
        <f>RAB!H408</f>
        <v>0</v>
      </c>
      <c r="I28" s="234">
        <f>RAB!I408</f>
        <v>0</v>
      </c>
      <c r="J28" s="234">
        <f>RAB!J408</f>
        <v>0</v>
      </c>
      <c r="K28" s="234">
        <f>RAB!K408</f>
        <v>0</v>
      </c>
      <c r="L28" s="234">
        <f>RAB!L408</f>
        <v>0</v>
      </c>
      <c r="M28" s="234">
        <f>RAB!M408</f>
        <v>5230.2853654734918</v>
      </c>
      <c r="N28" s="234">
        <f>RAB!N408</f>
        <v>5365.7754594000626</v>
      </c>
      <c r="O28" s="234">
        <f>RAB!O408</f>
        <v>5504.5930429375067</v>
      </c>
      <c r="P28" s="234">
        <f>RAB!P408</f>
        <v>5646.8170196326882</v>
      </c>
      <c r="Q28" s="234">
        <f>RAB!Q408</f>
        <v>5792.5281181785022</v>
      </c>
      <c r="R28" s="234">
        <f>RAB!R408</f>
        <v>167.15126658111527</v>
      </c>
    </row>
    <row r="29" spans="1:18">
      <c r="A29" s="232" t="s">
        <v>323</v>
      </c>
      <c r="B29" s="63" t="s">
        <v>40</v>
      </c>
      <c r="C29" t="s">
        <v>52</v>
      </c>
      <c r="D29" s="234">
        <f>RAB!D409</f>
        <v>0</v>
      </c>
      <c r="E29" s="234">
        <f>RAB!E409</f>
        <v>0</v>
      </c>
      <c r="F29" s="234">
        <f>RAB!F409</f>
        <v>0</v>
      </c>
      <c r="G29" s="234">
        <f>RAB!G409</f>
        <v>0</v>
      </c>
      <c r="H29" s="234">
        <f>RAB!H409</f>
        <v>0</v>
      </c>
      <c r="I29" s="234">
        <f>RAB!I409</f>
        <v>0</v>
      </c>
      <c r="J29" s="234">
        <f>RAB!J409</f>
        <v>0</v>
      </c>
      <c r="K29" s="234">
        <f>RAB!K409</f>
        <v>0</v>
      </c>
      <c r="L29" s="234">
        <f>RAB!L409</f>
        <v>0</v>
      </c>
      <c r="M29" s="234">
        <f>RAB!M409</f>
        <v>20921.141461893967</v>
      </c>
      <c r="N29" s="234">
        <f>RAB!N409</f>
        <v>16128.210764817288</v>
      </c>
      <c r="O29" s="234">
        <f>RAB!O409</f>
        <v>11103.692308923339</v>
      </c>
      <c r="P29" s="234">
        <f>RAB!P409</f>
        <v>5839.6097146512739</v>
      </c>
      <c r="Q29" s="234">
        <f>RAB!Q409</f>
        <v>327.74758153159655</v>
      </c>
      <c r="R29" s="234">
        <f>RAB!R409</f>
        <v>334.30253316222849</v>
      </c>
    </row>
    <row r="30" spans="1:18">
      <c r="A30" s="232" t="s">
        <v>236</v>
      </c>
      <c r="B30" s="63" t="s">
        <v>40</v>
      </c>
      <c r="C30" t="s">
        <v>52</v>
      </c>
      <c r="D30" s="234">
        <f>RAB!D410</f>
        <v>0</v>
      </c>
      <c r="E30" s="234">
        <f>RAB!E410</f>
        <v>0</v>
      </c>
      <c r="F30" s="234">
        <f>RAB!F410</f>
        <v>0</v>
      </c>
      <c r="G30" s="234">
        <f>RAB!G410</f>
        <v>0</v>
      </c>
      <c r="H30" s="234">
        <f>RAB!H410</f>
        <v>0</v>
      </c>
      <c r="I30" s="234">
        <f>RAB!I410</f>
        <v>0</v>
      </c>
      <c r="J30" s="234">
        <f>RAB!J410</f>
        <v>0</v>
      </c>
      <c r="K30" s="234">
        <f>RAB!K410</f>
        <v>0</v>
      </c>
      <c r="L30" s="234">
        <f>RAB!L410</f>
        <v>0</v>
      </c>
      <c r="M30" s="234">
        <f>RAB!M410</f>
        <v>10460.570730946984</v>
      </c>
      <c r="N30" s="234">
        <f>RAB!N410</f>
        <v>18733.887527974566</v>
      </c>
      <c r="O30" s="234">
        <f>RAB!O410</f>
        <v>13777.233644518486</v>
      </c>
      <c r="P30" s="234">
        <f>RAB!P410</f>
        <v>8582.6879348765397</v>
      </c>
      <c r="Q30" s="234">
        <f>RAB!Q410</f>
        <v>3142.0747452379478</v>
      </c>
      <c r="R30" s="234">
        <f>RAB!R410</f>
        <v>334.30253316222849</v>
      </c>
    </row>
    <row r="31" spans="1:18" s="285" customFormat="1">
      <c r="A31" s="232"/>
      <c r="B31" s="286"/>
      <c r="D31" s="234"/>
      <c r="E31" s="234"/>
      <c r="F31" s="234"/>
      <c r="G31" s="234"/>
      <c r="H31" s="234"/>
      <c r="I31" s="234"/>
      <c r="J31" s="234"/>
      <c r="K31" s="234"/>
      <c r="L31" s="234"/>
      <c r="M31" s="234"/>
      <c r="N31" s="234"/>
      <c r="O31" s="234"/>
      <c r="P31" s="234"/>
      <c r="Q31" s="234"/>
      <c r="R31" s="234"/>
    </row>
    <row r="32" spans="1:18" s="285" customFormat="1">
      <c r="A32" s="65" t="s">
        <v>662</v>
      </c>
      <c r="B32" s="1" t="s">
        <v>10</v>
      </c>
      <c r="C32" s="1" t="s">
        <v>11</v>
      </c>
      <c r="D32" s="236" t="s">
        <v>35</v>
      </c>
      <c r="E32" s="236" t="s">
        <v>36</v>
      </c>
      <c r="F32" s="236" t="s">
        <v>37</v>
      </c>
      <c r="G32" s="236" t="s">
        <v>15</v>
      </c>
      <c r="H32" s="236" t="s">
        <v>16</v>
      </c>
      <c r="I32" s="236" t="s">
        <v>0</v>
      </c>
      <c r="J32" s="236" t="s">
        <v>1</v>
      </c>
      <c r="K32" s="236" t="s">
        <v>2</v>
      </c>
      <c r="L32" s="236" t="s">
        <v>3</v>
      </c>
      <c r="M32" s="236" t="s">
        <v>4</v>
      </c>
      <c r="N32" s="236" t="s">
        <v>5</v>
      </c>
      <c r="O32" s="236" t="s">
        <v>6</v>
      </c>
      <c r="P32" s="236" t="s">
        <v>7</v>
      </c>
      <c r="Q32" s="236" t="s">
        <v>8</v>
      </c>
      <c r="R32" s="236" t="s">
        <v>9</v>
      </c>
    </row>
    <row r="33" spans="1:18" s="285" customFormat="1">
      <c r="A33" s="286" t="s">
        <v>322</v>
      </c>
      <c r="B33" s="286" t="s">
        <v>40</v>
      </c>
      <c r="C33" s="285" t="s">
        <v>52</v>
      </c>
      <c r="D33" s="234">
        <f>RAB!D413</f>
        <v>0</v>
      </c>
      <c r="E33" s="234">
        <f>RAB!E413</f>
        <v>0</v>
      </c>
      <c r="F33" s="234">
        <f>RAB!F413</f>
        <v>0</v>
      </c>
      <c r="G33" s="234">
        <f>RAB!G413</f>
        <v>0</v>
      </c>
      <c r="H33" s="234">
        <f>RAB!H413</f>
        <v>0</v>
      </c>
      <c r="I33" s="234">
        <f>RAB!I413</f>
        <v>0</v>
      </c>
      <c r="J33" s="234">
        <f>RAB!J413</f>
        <v>0</v>
      </c>
      <c r="K33" s="234">
        <f>RAB!K413</f>
        <v>0</v>
      </c>
      <c r="L33" s="234">
        <f>RAB!L413</f>
        <v>1916.0735236605399</v>
      </c>
      <c r="M33" s="234">
        <f>RAB!M413</f>
        <v>972.66327727806038</v>
      </c>
      <c r="N33" s="234">
        <f>RAB!N413</f>
        <v>0</v>
      </c>
      <c r="O33" s="234">
        <f>RAB!O413</f>
        <v>0</v>
      </c>
      <c r="P33" s="234">
        <f>RAB!P413</f>
        <v>0</v>
      </c>
      <c r="Q33" s="234">
        <f>RAB!Q413</f>
        <v>0</v>
      </c>
      <c r="R33" s="234">
        <f>RAB!R413</f>
        <v>0</v>
      </c>
    </row>
    <row r="34" spans="1:18" s="285" customFormat="1">
      <c r="A34" s="286" t="s">
        <v>59</v>
      </c>
      <c r="B34" s="286" t="s">
        <v>40</v>
      </c>
      <c r="C34" s="285" t="s">
        <v>52</v>
      </c>
      <c r="D34" s="234">
        <f>RAB!D414</f>
        <v>0</v>
      </c>
      <c r="E34" s="234">
        <f>RAB!E414</f>
        <v>0</v>
      </c>
      <c r="F34" s="234">
        <f>RAB!F414</f>
        <v>0</v>
      </c>
      <c r="G34" s="234">
        <f>RAB!G414</f>
        <v>0</v>
      </c>
      <c r="H34" s="234">
        <f>RAB!H414</f>
        <v>0</v>
      </c>
      <c r="I34" s="234">
        <f>RAB!I414</f>
        <v>0</v>
      </c>
      <c r="J34" s="234">
        <f>RAB!J414</f>
        <v>0</v>
      </c>
      <c r="K34" s="234">
        <f>RAB!K414</f>
        <v>0</v>
      </c>
      <c r="L34" s="234">
        <f>RAB!L414</f>
        <v>0</v>
      </c>
      <c r="M34" s="234">
        <f>RAB!M414</f>
        <v>0</v>
      </c>
      <c r="N34" s="234">
        <f>RAB!N414</f>
        <v>0</v>
      </c>
      <c r="O34" s="234">
        <f>RAB!O414</f>
        <v>0</v>
      </c>
      <c r="P34" s="234">
        <f>RAB!P414</f>
        <v>0</v>
      </c>
      <c r="Q34" s="234">
        <f>RAB!Q414</f>
        <v>0</v>
      </c>
      <c r="R34" s="234">
        <f>RAB!R414</f>
        <v>0</v>
      </c>
    </row>
    <row r="35" spans="1:18" s="285" customFormat="1">
      <c r="A35" s="286" t="s">
        <v>60</v>
      </c>
      <c r="B35" s="286" t="s">
        <v>40</v>
      </c>
      <c r="C35" s="285" t="s">
        <v>52</v>
      </c>
      <c r="D35" s="234">
        <f>RAB!D415</f>
        <v>0</v>
      </c>
      <c r="E35" s="234">
        <f>RAB!E415</f>
        <v>0</v>
      </c>
      <c r="F35" s="234">
        <f>RAB!F415</f>
        <v>0</v>
      </c>
      <c r="G35" s="234">
        <f>RAB!G415</f>
        <v>0</v>
      </c>
      <c r="H35" s="234">
        <f>RAB!H415</f>
        <v>0</v>
      </c>
      <c r="I35" s="234">
        <f>RAB!I415</f>
        <v>0</v>
      </c>
      <c r="J35" s="234">
        <f>RAB!J415</f>
        <v>0</v>
      </c>
      <c r="K35" s="234">
        <f>RAB!K415</f>
        <v>0</v>
      </c>
      <c r="L35" s="234">
        <f>RAB!L415</f>
        <v>958.03676183026994</v>
      </c>
      <c r="M35" s="234">
        <f>RAB!M415</f>
        <v>972.66327727806038</v>
      </c>
      <c r="N35" s="234">
        <f>RAB!N415</f>
        <v>0</v>
      </c>
      <c r="O35" s="234">
        <f>RAB!O415</f>
        <v>0</v>
      </c>
      <c r="P35" s="234">
        <f>RAB!P415</f>
        <v>0</v>
      </c>
      <c r="Q35" s="234">
        <f>RAB!Q415</f>
        <v>0</v>
      </c>
      <c r="R35" s="234">
        <f>RAB!R415</f>
        <v>0</v>
      </c>
    </row>
    <row r="36" spans="1:18" s="285" customFormat="1">
      <c r="A36" s="286" t="s">
        <v>323</v>
      </c>
      <c r="B36" s="286" t="s">
        <v>40</v>
      </c>
      <c r="C36" s="285" t="s">
        <v>52</v>
      </c>
      <c r="D36" s="234">
        <f>RAB!D416</f>
        <v>0</v>
      </c>
      <c r="E36" s="234">
        <f>RAB!E416</f>
        <v>0</v>
      </c>
      <c r="F36" s="234">
        <f>RAB!F416</f>
        <v>0</v>
      </c>
      <c r="G36" s="234">
        <f>RAB!G416</f>
        <v>0</v>
      </c>
      <c r="H36" s="234">
        <f>RAB!H416</f>
        <v>0</v>
      </c>
      <c r="I36" s="234">
        <f>RAB!I416</f>
        <v>0</v>
      </c>
      <c r="J36" s="234">
        <f>RAB!J416</f>
        <v>0</v>
      </c>
      <c r="K36" s="234">
        <f>RAB!K416</f>
        <v>0</v>
      </c>
      <c r="L36" s="234">
        <f>RAB!L416</f>
        <v>958.03676183026994</v>
      </c>
      <c r="M36" s="234">
        <f>RAB!M416</f>
        <v>0</v>
      </c>
      <c r="N36" s="234">
        <f>RAB!N416</f>
        <v>0</v>
      </c>
      <c r="O36" s="234">
        <f>RAB!O416</f>
        <v>0</v>
      </c>
      <c r="P36" s="234">
        <f>RAB!P416</f>
        <v>0</v>
      </c>
      <c r="Q36" s="234">
        <f>RAB!Q416</f>
        <v>0</v>
      </c>
      <c r="R36" s="234">
        <f>RAB!R416</f>
        <v>0</v>
      </c>
    </row>
    <row r="37" spans="1:18" s="285" customFormat="1">
      <c r="A37" s="286" t="s">
        <v>236</v>
      </c>
      <c r="B37" s="286" t="s">
        <v>40</v>
      </c>
      <c r="C37" s="285" t="s">
        <v>52</v>
      </c>
      <c r="D37" s="234">
        <f>RAB!D417</f>
        <v>0</v>
      </c>
      <c r="E37" s="234">
        <f>RAB!E417</f>
        <v>0</v>
      </c>
      <c r="F37" s="234">
        <f>RAB!F417</f>
        <v>0</v>
      </c>
      <c r="G37" s="234">
        <f>RAB!G417</f>
        <v>0</v>
      </c>
      <c r="H37" s="234">
        <f>RAB!H417</f>
        <v>0</v>
      </c>
      <c r="I37" s="234">
        <f>RAB!I417</f>
        <v>0</v>
      </c>
      <c r="J37" s="234">
        <f>RAB!J417</f>
        <v>0</v>
      </c>
      <c r="K37" s="234">
        <f>RAB!K417</f>
        <v>0</v>
      </c>
      <c r="L37" s="234">
        <f>RAB!L417</f>
        <v>1437.0551427454047</v>
      </c>
      <c r="M37" s="234">
        <f>RAB!M417</f>
        <v>486.33163863903019</v>
      </c>
      <c r="N37" s="234">
        <f>RAB!N417</f>
        <v>0</v>
      </c>
      <c r="O37" s="234">
        <f>RAB!O417</f>
        <v>0</v>
      </c>
      <c r="P37" s="234">
        <f>RAB!P417</f>
        <v>0</v>
      </c>
      <c r="Q37" s="234">
        <f>RAB!Q417</f>
        <v>0</v>
      </c>
      <c r="R37" s="234">
        <f>RAB!R417</f>
        <v>0</v>
      </c>
    </row>
    <row r="38" spans="1:18" s="285" customFormat="1">
      <c r="A38" s="232"/>
      <c r="B38" s="286"/>
      <c r="D38" s="234"/>
      <c r="E38" s="234"/>
      <c r="F38" s="234"/>
      <c r="G38" s="234"/>
      <c r="H38" s="234"/>
      <c r="I38" s="234"/>
      <c r="J38" s="234"/>
      <c r="K38" s="234"/>
      <c r="L38" s="234"/>
      <c r="M38" s="234"/>
      <c r="N38" s="234"/>
      <c r="O38" s="234"/>
      <c r="P38" s="234"/>
      <c r="Q38" s="234"/>
      <c r="R38" s="234"/>
    </row>
    <row r="39" spans="1:18" s="285" customFormat="1">
      <c r="A39" s="232"/>
      <c r="B39" s="286"/>
      <c r="D39" s="234"/>
      <c r="E39" s="234"/>
      <c r="F39" s="234"/>
      <c r="G39" s="234"/>
      <c r="H39" s="234"/>
      <c r="I39" s="234"/>
      <c r="J39" s="234"/>
      <c r="K39" s="234"/>
      <c r="L39" s="234"/>
      <c r="M39" s="234"/>
      <c r="N39" s="234"/>
      <c r="O39" s="234"/>
      <c r="P39" s="234"/>
      <c r="Q39" s="234"/>
      <c r="R39" s="234"/>
    </row>
    <row r="40" spans="1:18">
      <c r="A40" s="65" t="s">
        <v>399</v>
      </c>
      <c r="B40" s="1" t="s">
        <v>10</v>
      </c>
      <c r="C40" s="1" t="s">
        <v>11</v>
      </c>
      <c r="D40" s="236" t="s">
        <v>35</v>
      </c>
      <c r="E40" s="236" t="s">
        <v>36</v>
      </c>
      <c r="F40" s="236" t="s">
        <v>37</v>
      </c>
      <c r="G40" s="236" t="s">
        <v>15</v>
      </c>
      <c r="H40" s="236" t="s">
        <v>16</v>
      </c>
      <c r="I40" s="236" t="s">
        <v>0</v>
      </c>
      <c r="J40" s="236" t="s">
        <v>1</v>
      </c>
      <c r="K40" s="236" t="s">
        <v>2</v>
      </c>
      <c r="L40" s="236" t="s">
        <v>3</v>
      </c>
      <c r="M40" s="236" t="s">
        <v>4</v>
      </c>
      <c r="N40" s="236" t="s">
        <v>5</v>
      </c>
      <c r="O40" s="236" t="s">
        <v>6</v>
      </c>
      <c r="P40" s="236" t="s">
        <v>7</v>
      </c>
      <c r="Q40" s="236" t="s">
        <v>8</v>
      </c>
      <c r="R40" s="236" t="s">
        <v>9</v>
      </c>
    </row>
    <row r="41" spans="1:18">
      <c r="A41" s="232" t="s">
        <v>322</v>
      </c>
      <c r="B41" s="63" t="s">
        <v>40</v>
      </c>
      <c r="C41" t="s">
        <v>52</v>
      </c>
      <c r="D41" s="255">
        <f>D4+D11+D18+D26+D33</f>
        <v>18916.576112074305</v>
      </c>
      <c r="E41" s="255">
        <f t="shared" ref="E41:R41" si="0">E4+E11+E18+E26+E33</f>
        <v>18542.521837587261</v>
      </c>
      <c r="F41" s="255">
        <f t="shared" si="0"/>
        <v>18162.309628286301</v>
      </c>
      <c r="G41" s="255">
        <f t="shared" si="0"/>
        <v>15004.777886690661</v>
      </c>
      <c r="H41" s="255">
        <f t="shared" si="0"/>
        <v>12700.561103870159</v>
      </c>
      <c r="I41" s="255">
        <f t="shared" si="0"/>
        <v>10622.382932505057</v>
      </c>
      <c r="J41" s="255">
        <f t="shared" si="0"/>
        <v>10311.712585715028</v>
      </c>
      <c r="K41" s="255">
        <f t="shared" si="0"/>
        <v>12412.799335993441</v>
      </c>
      <c r="L41" s="255">
        <f t="shared" si="0"/>
        <v>15776.421055858049</v>
      </c>
      <c r="M41" s="255">
        <f t="shared" si="0"/>
        <v>15726.694188361456</v>
      </c>
      <c r="N41" s="255">
        <f t="shared" si="0"/>
        <v>38334.363864887571</v>
      </c>
      <c r="O41" s="255">
        <f t="shared" si="0"/>
        <v>41753.129455951872</v>
      </c>
      <c r="P41" s="255">
        <f t="shared" si="0"/>
        <v>43240.100343584883</v>
      </c>
      <c r="Q41" s="255">
        <f t="shared" si="0"/>
        <v>40096.425800135301</v>
      </c>
      <c r="R41" s="255">
        <f t="shared" si="0"/>
        <v>27886.156545405884</v>
      </c>
    </row>
    <row r="42" spans="1:18">
      <c r="A42" s="232" t="s">
        <v>59</v>
      </c>
      <c r="B42" s="63" t="s">
        <v>40</v>
      </c>
      <c r="C42" t="s">
        <v>52</v>
      </c>
      <c r="D42" s="255">
        <f>D5+D12+D19+D27+D34</f>
        <v>2261.9389587073606</v>
      </c>
      <c r="E42" s="255">
        <f t="shared" ref="E42:R42" si="1">E5+E12+E19+E27+E34</f>
        <v>2674.2482046678633</v>
      </c>
      <c r="F42" s="255">
        <f t="shared" si="1"/>
        <v>274.36041292639135</v>
      </c>
      <c r="G42" s="255">
        <f t="shared" si="1"/>
        <v>1589.5175044883301</v>
      </c>
      <c r="H42" s="255">
        <f t="shared" si="1"/>
        <v>1953.3113556688472</v>
      </c>
      <c r="I42" s="255">
        <f t="shared" si="1"/>
        <v>3044.212083594326</v>
      </c>
      <c r="J42" s="255">
        <f t="shared" si="1"/>
        <v>3734.0668291301954</v>
      </c>
      <c r="K42" s="255">
        <f t="shared" si="1"/>
        <v>2615.0389027522874</v>
      </c>
      <c r="L42" s="255">
        <f t="shared" si="1"/>
        <v>2674.1557514388314</v>
      </c>
      <c r="M42" s="255">
        <f t="shared" si="1"/>
        <v>31337.297637223004</v>
      </c>
      <c r="N42" s="255">
        <f t="shared" si="1"/>
        <v>10470.887626060397</v>
      </c>
      <c r="O42" s="255">
        <f t="shared" si="1"/>
        <v>9549.0352118535302</v>
      </c>
      <c r="P42" s="255">
        <f t="shared" si="1"/>
        <v>6563.3182924714229</v>
      </c>
      <c r="Q42" s="255">
        <f t="shared" si="1"/>
        <v>5840.1715875037407</v>
      </c>
      <c r="R42" s="255">
        <f t="shared" si="1"/>
        <v>5061.0228807887461</v>
      </c>
    </row>
    <row r="43" spans="1:18">
      <c r="A43" s="232" t="s">
        <v>60</v>
      </c>
      <c r="B43" s="63" t="s">
        <v>40</v>
      </c>
      <c r="C43" t="s">
        <v>52</v>
      </c>
      <c r="D43" s="255">
        <f>D6+D13+D28+D35</f>
        <v>3255.3516945736069</v>
      </c>
      <c r="E43" s="255">
        <f t="shared" ref="E43:R43" si="2">E6+E13+E28+E35</f>
        <v>3564.0242111552134</v>
      </c>
      <c r="F43" s="255">
        <f t="shared" si="2"/>
        <v>3795.7154744183249</v>
      </c>
      <c r="G43" s="255">
        <f t="shared" si="2"/>
        <v>4006.9563436611643</v>
      </c>
      <c r="H43" s="255">
        <f t="shared" si="2"/>
        <v>4169.6536508691333</v>
      </c>
      <c r="I43" s="255">
        <f t="shared" si="2"/>
        <v>3705.4654155601806</v>
      </c>
      <c r="J43" s="255">
        <f t="shared" si="2"/>
        <v>2036.8287522788137</v>
      </c>
      <c r="K43" s="255">
        <f t="shared" si="2"/>
        <v>1576.2795824110883</v>
      </c>
      <c r="L43" s="255">
        <f t="shared" si="2"/>
        <v>2960.3742608656726</v>
      </c>
      <c r="M43" s="255">
        <f t="shared" si="2"/>
        <v>8330.7582136723704</v>
      </c>
      <c r="N43" s="255">
        <f t="shared" si="2"/>
        <v>6924.481565615979</v>
      </c>
      <c r="O43" s="255">
        <f t="shared" si="2"/>
        <v>7867.2715425797614</v>
      </c>
      <c r="P43" s="255">
        <f t="shared" si="2"/>
        <v>8659.4586076098112</v>
      </c>
      <c r="Q43" s="255">
        <f t="shared" si="2"/>
        <v>9189.351550589874</v>
      </c>
      <c r="R43" s="255">
        <f t="shared" si="2"/>
        <v>3821.3844620651453</v>
      </c>
    </row>
    <row r="44" spans="1:18">
      <c r="A44" s="232" t="s">
        <v>327</v>
      </c>
      <c r="B44" s="63" t="s">
        <v>40</v>
      </c>
      <c r="C44" t="s">
        <v>52</v>
      </c>
      <c r="D44" s="255">
        <f>D20</f>
        <v>0</v>
      </c>
      <c r="E44" s="255">
        <f t="shared" ref="E44:R44" si="3">E20</f>
        <v>0</v>
      </c>
      <c r="F44" s="255">
        <f t="shared" si="3"/>
        <v>0</v>
      </c>
      <c r="G44" s="255">
        <f t="shared" si="3"/>
        <v>0</v>
      </c>
      <c r="H44" s="255">
        <f t="shared" si="3"/>
        <v>0</v>
      </c>
      <c r="I44" s="255">
        <f t="shared" si="3"/>
        <v>0</v>
      </c>
      <c r="J44" s="255">
        <f t="shared" si="3"/>
        <v>0</v>
      </c>
      <c r="K44" s="255">
        <f t="shared" si="3"/>
        <v>0</v>
      </c>
      <c r="L44" s="255">
        <f t="shared" si="3"/>
        <v>0</v>
      </c>
      <c r="M44" s="255">
        <f t="shared" si="3"/>
        <v>828.76868702290096</v>
      </c>
      <c r="N44" s="255">
        <f t="shared" si="3"/>
        <v>946.32928224192153</v>
      </c>
      <c r="O44" s="255">
        <f t="shared" si="3"/>
        <v>1042.6378864169287</v>
      </c>
      <c r="P44" s="255">
        <f t="shared" si="3"/>
        <v>1833.7386557648272</v>
      </c>
      <c r="Q44" s="255">
        <f t="shared" si="3"/>
        <v>9407.876674886551</v>
      </c>
      <c r="R44" s="255">
        <f t="shared" si="3"/>
        <v>10043.956743522549</v>
      </c>
    </row>
    <row r="45" spans="1:18">
      <c r="A45" s="232" t="s">
        <v>245</v>
      </c>
      <c r="B45" s="63" t="s">
        <v>40</v>
      </c>
      <c r="C45" t="s">
        <v>52</v>
      </c>
      <c r="D45" s="255">
        <f>D21</f>
        <v>0</v>
      </c>
      <c r="E45" s="255">
        <f t="shared" ref="E45:R45" si="4">E21</f>
        <v>0</v>
      </c>
      <c r="F45" s="255">
        <f t="shared" si="4"/>
        <v>0</v>
      </c>
      <c r="G45" s="255">
        <f t="shared" si="4"/>
        <v>0</v>
      </c>
      <c r="H45" s="255">
        <f t="shared" si="4"/>
        <v>0</v>
      </c>
      <c r="I45" s="255">
        <f t="shared" si="4"/>
        <v>0</v>
      </c>
      <c r="J45" s="255">
        <f t="shared" si="4"/>
        <v>0</v>
      </c>
      <c r="K45" s="255">
        <f t="shared" si="4"/>
        <v>0</v>
      </c>
      <c r="L45" s="255">
        <f t="shared" si="4"/>
        <v>0</v>
      </c>
      <c r="M45" s="255">
        <f t="shared" si="4"/>
        <v>321.75525343079295</v>
      </c>
      <c r="N45" s="255">
        <f t="shared" si="4"/>
        <v>0</v>
      </c>
      <c r="O45" s="255">
        <f t="shared" si="4"/>
        <v>0</v>
      </c>
      <c r="P45" s="255">
        <f t="shared" si="4"/>
        <v>0</v>
      </c>
      <c r="Q45" s="255">
        <f t="shared" si="4"/>
        <v>0</v>
      </c>
      <c r="R45" s="255">
        <f t="shared" si="4"/>
        <v>0</v>
      </c>
    </row>
    <row r="46" spans="1:18">
      <c r="A46" s="232" t="s">
        <v>323</v>
      </c>
      <c r="B46" s="63" t="s">
        <v>40</v>
      </c>
      <c r="C46" t="s">
        <v>52</v>
      </c>
      <c r="D46" s="255">
        <f>D7+D14+D22+D29+D36</f>
        <v>17923.163376208056</v>
      </c>
      <c r="E46" s="255">
        <f t="shared" ref="E46:R46" si="5">E7+E14+E22+E29+E36</f>
        <v>17652.745831099914</v>
      </c>
      <c r="F46" s="255">
        <f t="shared" si="5"/>
        <v>14640.954566794369</v>
      </c>
      <c r="G46" s="255">
        <f t="shared" si="5"/>
        <v>12587.339047517828</v>
      </c>
      <c r="H46" s="255">
        <f t="shared" si="5"/>
        <v>10484.218808669873</v>
      </c>
      <c r="I46" s="255">
        <f t="shared" si="5"/>
        <v>9961.1296005392014</v>
      </c>
      <c r="J46" s="255">
        <f t="shared" si="5"/>
        <v>12008.950662566411</v>
      </c>
      <c r="K46" s="255">
        <f t="shared" si="5"/>
        <v>13451.558656334641</v>
      </c>
      <c r="L46" s="255">
        <f t="shared" si="5"/>
        <v>15490.202546431206</v>
      </c>
      <c r="M46" s="255">
        <f t="shared" si="5"/>
        <v>37582.709671458397</v>
      </c>
      <c r="N46" s="255">
        <f t="shared" si="5"/>
        <v>40934.440643090071</v>
      </c>
      <c r="O46" s="255">
        <f t="shared" si="5"/>
        <v>42392.255238808713</v>
      </c>
      <c r="P46" s="255">
        <f t="shared" si="5"/>
        <v>39310.22137268167</v>
      </c>
      <c r="Q46" s="255">
        <f t="shared" si="5"/>
        <v>27339.369162162624</v>
      </c>
      <c r="R46" s="255">
        <f t="shared" si="5"/>
        <v>19081.838220606933</v>
      </c>
    </row>
    <row r="47" spans="1:18">
      <c r="A47" s="232" t="s">
        <v>236</v>
      </c>
      <c r="B47" s="63" t="s">
        <v>40</v>
      </c>
      <c r="C47" t="s">
        <v>52</v>
      </c>
      <c r="D47" s="255">
        <f>D8+D15+D23+D30+D37</f>
        <v>18419.869744141179</v>
      </c>
      <c r="E47" s="255">
        <f t="shared" ref="E47:R47" si="6">E8+E15+E23+E30+E37</f>
        <v>18097.633834343585</v>
      </c>
      <c r="F47" s="255">
        <f t="shared" si="6"/>
        <v>16401.632097540336</v>
      </c>
      <c r="G47" s="255">
        <f t="shared" si="6"/>
        <v>13796.058467104245</v>
      </c>
      <c r="H47" s="255">
        <f t="shared" si="6"/>
        <v>11592.389956270015</v>
      </c>
      <c r="I47" s="255">
        <f t="shared" si="6"/>
        <v>10291.75626652213</v>
      </c>
      <c r="J47" s="255">
        <f t="shared" si="6"/>
        <v>11160.331624140716</v>
      </c>
      <c r="K47" s="255">
        <f t="shared" si="6"/>
        <v>12932.178996164039</v>
      </c>
      <c r="L47" s="255">
        <f t="shared" si="6"/>
        <v>15633.311801144628</v>
      </c>
      <c r="M47" s="255">
        <f t="shared" si="6"/>
        <v>26654.701929909923</v>
      </c>
      <c r="N47" s="255">
        <f t="shared" si="6"/>
        <v>39634.402253988817</v>
      </c>
      <c r="O47" s="255">
        <f t="shared" si="6"/>
        <v>42072.692347380289</v>
      </c>
      <c r="P47" s="255">
        <f t="shared" si="6"/>
        <v>41275.160858133269</v>
      </c>
      <c r="Q47" s="255">
        <f t="shared" si="6"/>
        <v>33717.897481148968</v>
      </c>
      <c r="R47" s="255">
        <f t="shared" si="6"/>
        <v>23483.997383006408</v>
      </c>
    </row>
    <row r="48" spans="1:18">
      <c r="D48" s="255"/>
      <c r="E48" s="255"/>
      <c r="F48" s="255"/>
      <c r="G48" s="255"/>
      <c r="H48" s="255"/>
      <c r="I48" s="255"/>
      <c r="J48" s="255"/>
      <c r="K48" s="255"/>
      <c r="L48" s="255"/>
      <c r="M48" s="255"/>
      <c r="N48" s="255"/>
      <c r="O48" s="255"/>
      <c r="P48" s="255"/>
      <c r="Q48" s="255"/>
      <c r="R48" s="255"/>
    </row>
    <row r="49" spans="1:18" ht="18">
      <c r="A49" s="256" t="s">
        <v>325</v>
      </c>
      <c r="B49" s="256"/>
      <c r="I49" s="287"/>
      <c r="J49" s="287"/>
      <c r="K49" s="287"/>
      <c r="L49" s="287"/>
      <c r="M49" s="287"/>
      <c r="N49" s="287"/>
      <c r="O49" s="287"/>
      <c r="P49" s="287"/>
      <c r="Q49" s="287"/>
      <c r="R49" s="287"/>
    </row>
    <row r="51" spans="1:18">
      <c r="A51" s="65" t="s">
        <v>329</v>
      </c>
      <c r="B51" s="1" t="s">
        <v>10</v>
      </c>
      <c r="C51" s="1" t="s">
        <v>11</v>
      </c>
      <c r="D51" s="236" t="s">
        <v>0</v>
      </c>
      <c r="E51" s="236" t="s">
        <v>1</v>
      </c>
      <c r="F51" s="236" t="s">
        <v>2</v>
      </c>
      <c r="G51" s="236" t="s">
        <v>3</v>
      </c>
      <c r="H51" s="236" t="s">
        <v>4</v>
      </c>
      <c r="I51" s="236" t="s">
        <v>5</v>
      </c>
      <c r="J51" s="236" t="s">
        <v>6</v>
      </c>
      <c r="K51" s="236" t="s">
        <v>7</v>
      </c>
      <c r="L51" s="236" t="s">
        <v>8</v>
      </c>
      <c r="M51" s="236" t="s">
        <v>9</v>
      </c>
    </row>
    <row r="52" spans="1:18">
      <c r="A52" s="232" t="s">
        <v>322</v>
      </c>
      <c r="B52" s="63" t="s">
        <v>40</v>
      </c>
      <c r="C52" t="s">
        <v>53</v>
      </c>
      <c r="D52" s="234">
        <f>I4*(RAB!$I$5/RAB!F$5)</f>
        <v>7031.6859758177698</v>
      </c>
      <c r="E52" s="234">
        <f>J4*(RAB!$I$5/RAB!G$5)</f>
        <v>4550.3074363930064</v>
      </c>
      <c r="F52" s="234">
        <f>K4*(RAB!$I$5/RAB!H$5)</f>
        <v>3715.752174840663</v>
      </c>
      <c r="G52" s="234">
        <f>L4*(RAB!$I$5/RAB!I$5)</f>
        <v>3050.5724227260262</v>
      </c>
      <c r="H52" s="234">
        <f>M4*(RAB!$I$5/RAB!J$5)</f>
        <v>2493.7763392846368</v>
      </c>
      <c r="I52" s="234">
        <f>N4*(RAB!$I$5/RAB!K$5)</f>
        <v>2173.3083162634766</v>
      </c>
      <c r="J52" s="234">
        <f>O4*(RAB!$I$5/RAB!L$5)</f>
        <v>5690.3512496569911</v>
      </c>
      <c r="K52" s="234">
        <f>P4*(RAB!$I$5/RAB!M$5)</f>
        <v>8479.1304639704849</v>
      </c>
      <c r="L52" s="234">
        <f>Q4*(RAB!$I$5/RAB!N$5)</f>
        <v>8469.3953759820542</v>
      </c>
      <c r="M52" s="234">
        <f>R4*(RAB!$I$5/RAB!O$5)</f>
        <v>7897.0475704366763</v>
      </c>
      <c r="Q52" s="255"/>
    </row>
    <row r="53" spans="1:18">
      <c r="A53" s="232" t="s">
        <v>59</v>
      </c>
      <c r="B53" s="63" t="s">
        <v>40</v>
      </c>
      <c r="C53" t="s">
        <v>53</v>
      </c>
      <c r="D53" s="234">
        <f>I5*(RAB!$I$5/RAB!F$5)</f>
        <v>1270.0746370428194</v>
      </c>
      <c r="E53" s="234">
        <f>J5*(RAB!$I$5/RAB!G$5)</f>
        <v>1116.189302810646</v>
      </c>
      <c r="F53" s="234">
        <f>K5*(RAB!$I$5/RAB!H$5)</f>
        <v>797.63986677219111</v>
      </c>
      <c r="G53" s="234">
        <f>L5*(RAB!$I$5/RAB!I$5)</f>
        <v>1290.4522096206495</v>
      </c>
      <c r="H53" s="234">
        <f>M5*(RAB!$I$5/RAB!J$5)</f>
        <v>1639.1976620096784</v>
      </c>
      <c r="I53" s="234">
        <f>N5*(RAB!$I$5/RAB!K$5)</f>
        <v>4899.2880820571754</v>
      </c>
      <c r="J53" s="234">
        <f>O5*(RAB!$I$5/RAB!L$5)</f>
        <v>4905.0742525586629</v>
      </c>
      <c r="K53" s="234">
        <f>P5*(RAB!$I$5/RAB!M$5)</f>
        <v>2668.1268793971562</v>
      </c>
      <c r="L53" s="234">
        <f>Q5*(RAB!$I$5/RAB!N$5)</f>
        <v>2401.6188785135851</v>
      </c>
      <c r="M53" s="234">
        <f>R5*(RAB!$I$5/RAB!O$5)</f>
        <v>2231.9843349734192</v>
      </c>
      <c r="Q53" s="255"/>
    </row>
    <row r="54" spans="1:18">
      <c r="A54" s="232" t="s">
        <v>60</v>
      </c>
      <c r="B54" s="63" t="s">
        <v>40</v>
      </c>
      <c r="C54" t="s">
        <v>53</v>
      </c>
      <c r="D54" s="234">
        <f>I6*(RAB!$I$5/RAB!F$5)</f>
        <v>3792.552831033177</v>
      </c>
      <c r="E54" s="234">
        <f>J6*(RAB!$I$5/RAB!G$5)</f>
        <v>1991.5180170884676</v>
      </c>
      <c r="F54" s="234">
        <f>K6*(RAB!$I$5/RAB!H$5)</f>
        <v>1493.8600067212044</v>
      </c>
      <c r="G54" s="234">
        <f>L6*(RAB!$I$5/RAB!I$5)</f>
        <v>1861.9208458031699</v>
      </c>
      <c r="H54" s="234">
        <f>M6*(RAB!$I$5/RAB!J$5)</f>
        <v>1959.6656850308391</v>
      </c>
      <c r="I54" s="234">
        <f>N6*(RAB!$I$5/RAB!K$5)</f>
        <v>1382.2451486636617</v>
      </c>
      <c r="J54" s="234">
        <f>O6*(RAB!$I$5/RAB!L$5)</f>
        <v>2116.2950382451695</v>
      </c>
      <c r="K54" s="234">
        <f>P6*(RAB!$I$5/RAB!M$5)</f>
        <v>2677.861967385586</v>
      </c>
      <c r="L54" s="234">
        <f>Q6*(RAB!$I$5/RAB!N$5)</f>
        <v>2973.9666840589643</v>
      </c>
      <c r="M54" s="234">
        <f>R6*(RAB!$I$5/RAB!O$5)</f>
        <v>3143.5982653026072</v>
      </c>
      <c r="Q54" s="255"/>
    </row>
    <row r="55" spans="1:18">
      <c r="A55" s="232" t="s">
        <v>323</v>
      </c>
      <c r="B55" s="63" t="s">
        <v>40</v>
      </c>
      <c r="C55" t="s">
        <v>53</v>
      </c>
      <c r="D55" s="234">
        <f>I7*(RAB!$I$5/RAB!F$5)</f>
        <v>4509.2077818274111</v>
      </c>
      <c r="E55" s="234">
        <f>J7*(RAB!$I$5/RAB!G$5)</f>
        <v>3674.9787221151851</v>
      </c>
      <c r="F55" s="234">
        <f>K7*(RAB!$I$5/RAB!H$5)</f>
        <v>3019.5320348916503</v>
      </c>
      <c r="G55" s="234">
        <f>L7*(RAB!$I$5/RAB!I$5)</f>
        <v>2479.103786543506</v>
      </c>
      <c r="H55" s="234">
        <f>M7*(RAB!$I$5/RAB!J$5)</f>
        <v>2173.3083162634762</v>
      </c>
      <c r="I55" s="234">
        <f>N7*(RAB!$I$5/RAB!K$5)</f>
        <v>5690.3512496569911</v>
      </c>
      <c r="J55" s="234">
        <f>O7*(RAB!$I$5/RAB!L$5)</f>
        <v>8479.1304639704849</v>
      </c>
      <c r="K55" s="234">
        <f>P7*(RAB!$I$5/RAB!M$5)</f>
        <v>8469.3953759820542</v>
      </c>
      <c r="L55" s="234">
        <f>Q7*(RAB!$I$5/RAB!N$5)</f>
        <v>7897.0475704366754</v>
      </c>
      <c r="M55" s="234">
        <f>R7*(RAB!$I$5/RAB!O$5)</f>
        <v>6985.4336401074888</v>
      </c>
      <c r="Q55" s="255"/>
    </row>
    <row r="56" spans="1:18">
      <c r="A56" s="232" t="s">
        <v>236</v>
      </c>
      <c r="B56" s="63" t="s">
        <v>40</v>
      </c>
      <c r="C56" t="s">
        <v>53</v>
      </c>
      <c r="D56" s="234">
        <f>I8*(RAB!$I$5/RAB!F$5)</f>
        <v>5770.4468788225895</v>
      </c>
      <c r="E56" s="234">
        <f>J8*(RAB!$I$5/RAB!G$5)</f>
        <v>4112.643079254095</v>
      </c>
      <c r="F56" s="234">
        <f>K8*(RAB!$I$5/RAB!H$5)</f>
        <v>3367.6421048661568</v>
      </c>
      <c r="G56" s="234">
        <f>L8*(RAB!$I$5/RAB!I$5)</f>
        <v>2764.8381046347663</v>
      </c>
      <c r="H56" s="234">
        <f>M8*(RAB!$I$5/RAB!J$5)</f>
        <v>2333.5423277740565</v>
      </c>
      <c r="I56" s="234">
        <f>N8*(RAB!$I$5/RAB!K$5)</f>
        <v>3931.8297829602338</v>
      </c>
      <c r="J56" s="234">
        <f>O8*(RAB!$I$5/RAB!L$5)</f>
        <v>7084.7408568137371</v>
      </c>
      <c r="K56" s="234">
        <f>P8*(RAB!$I$5/RAB!M$5)</f>
        <v>8474.2629199762705</v>
      </c>
      <c r="L56" s="234">
        <f>Q8*(RAB!$I$5/RAB!N$5)</f>
        <v>8183.2214732093671</v>
      </c>
      <c r="M56" s="234">
        <f>R8*(RAB!$I$5/RAB!O$5)</f>
        <v>7441.2406052720826</v>
      </c>
      <c r="Q56" s="255"/>
    </row>
    <row r="57" spans="1:18">
      <c r="A57" s="63"/>
      <c r="B57" s="63"/>
      <c r="C57" s="63"/>
      <c r="D57" s="63"/>
      <c r="E57" s="63"/>
      <c r="F57" s="63"/>
      <c r="G57" s="63"/>
      <c r="H57" s="63"/>
      <c r="I57" s="63"/>
      <c r="J57" s="63"/>
      <c r="K57" s="63"/>
      <c r="L57" s="63"/>
      <c r="M57" s="63"/>
      <c r="Q57" s="255"/>
    </row>
    <row r="58" spans="1:18">
      <c r="A58" s="65" t="s">
        <v>330</v>
      </c>
      <c r="B58" s="1" t="s">
        <v>10</v>
      </c>
      <c r="C58" s="1" t="s">
        <v>11</v>
      </c>
      <c r="D58" s="236" t="s">
        <v>0</v>
      </c>
      <c r="E58" s="236" t="s">
        <v>1</v>
      </c>
      <c r="F58" s="236" t="s">
        <v>2</v>
      </c>
      <c r="G58" s="236" t="s">
        <v>3</v>
      </c>
      <c r="H58" s="236" t="s">
        <v>4</v>
      </c>
      <c r="I58" s="236" t="s">
        <v>5</v>
      </c>
      <c r="J58" s="236" t="s">
        <v>6</v>
      </c>
      <c r="K58" s="236" t="s">
        <v>7</v>
      </c>
      <c r="L58" s="236" t="s">
        <v>8</v>
      </c>
      <c r="M58" s="236" t="s">
        <v>9</v>
      </c>
      <c r="Q58" s="255"/>
    </row>
    <row r="59" spans="1:18">
      <c r="A59" s="232" t="s">
        <v>322</v>
      </c>
      <c r="B59" s="63" t="s">
        <v>40</v>
      </c>
      <c r="C59" t="s">
        <v>53</v>
      </c>
      <c r="D59" s="234">
        <f>I11*(RAB!$I$5/RAB!F$5)</f>
        <v>2671.1026854313977</v>
      </c>
      <c r="E59" s="234">
        <f>J11*(RAB!$I$5/RAB!G$5)</f>
        <v>2628.9187531175912</v>
      </c>
      <c r="F59" s="234">
        <f>K11*(RAB!$I$5/RAB!H$5)</f>
        <v>2538.1724562561053</v>
      </c>
      <c r="G59" s="234">
        <f>L11*(RAB!$I$5/RAB!I$5)</f>
        <v>2458.0572819004556</v>
      </c>
      <c r="H59" s="234">
        <f>M11*(RAB!$I$5/RAB!J$5)</f>
        <v>2350.9729737776565</v>
      </c>
      <c r="I59" s="234">
        <f>N11*(RAB!$I$5/RAB!K$5)</f>
        <v>2202.4221778593246</v>
      </c>
      <c r="J59" s="234">
        <f>O11*(RAB!$I$5/RAB!L$5)</f>
        <v>2118.0953857001009</v>
      </c>
      <c r="K59" s="234">
        <f>P11*(RAB!$I$5/RAB!M$5)</f>
        <v>2031.8685935408769</v>
      </c>
      <c r="L59" s="234">
        <f>Q11*(RAB!$I$5/RAB!N$5)</f>
        <v>1906.991801381653</v>
      </c>
      <c r="M59" s="234">
        <f>R11*(RAB!$I$5/RAB!O$5)</f>
        <v>1781.7150092224292</v>
      </c>
      <c r="Q59" s="255"/>
    </row>
    <row r="60" spans="1:18">
      <c r="A60" s="232" t="s">
        <v>59</v>
      </c>
      <c r="B60" s="63" t="s">
        <v>40</v>
      </c>
      <c r="C60" t="s">
        <v>53</v>
      </c>
      <c r="D60" s="234">
        <f>I12*(RAB!$I$5/RAB!F$5)</f>
        <v>104.81908548707754</v>
      </c>
      <c r="E60" s="234">
        <f>J12*(RAB!$I$5/RAB!G$5)</f>
        <v>13.554263565891471</v>
      </c>
      <c r="F60" s="234">
        <f>K12*(RAB!$I$5/RAB!H$5)</f>
        <v>8.6691943127962077</v>
      </c>
      <c r="G60" s="234">
        <f>L12*(RAB!$I$5/RAB!I$5)</f>
        <v>19.5</v>
      </c>
      <c r="H60" s="234">
        <f>M12*(RAB!$I$5/RAB!J$5)</f>
        <v>0</v>
      </c>
      <c r="I60" s="234">
        <f>N12*(RAB!$I$5/RAB!K$5)</f>
        <v>47.5</v>
      </c>
      <c r="J60" s="234">
        <f>O12*(RAB!$I$5/RAB!L$5)</f>
        <v>47.5</v>
      </c>
      <c r="K60" s="234">
        <f>P12*(RAB!$I$5/RAB!M$5)</f>
        <v>10</v>
      </c>
      <c r="L60" s="234">
        <f>Q12*(RAB!$I$5/RAB!N$5)</f>
        <v>10.000000000000002</v>
      </c>
      <c r="M60" s="234">
        <f>R12*(RAB!$I$5/RAB!O$5)</f>
        <v>10</v>
      </c>
      <c r="Q60" s="255"/>
    </row>
    <row r="61" spans="1:18">
      <c r="A61" s="232" t="s">
        <v>60</v>
      </c>
      <c r="B61" s="63" t="s">
        <v>40</v>
      </c>
      <c r="C61" t="s">
        <v>53</v>
      </c>
      <c r="D61" s="234">
        <f>I13*(RAB!$I$5/RAB!F$5)</f>
        <v>170.74815022204655</v>
      </c>
      <c r="E61" s="234">
        <f>J13*(RAB!$I$5/RAB!G$5)</f>
        <v>132.15227114021783</v>
      </c>
      <c r="F61" s="234">
        <f>K13*(RAB!$I$5/RAB!H$5)</f>
        <v>113.79575695114715</v>
      </c>
      <c r="G61" s="234">
        <f>L13*(RAB!$I$5/RAB!I$5)</f>
        <v>140.41665323223285</v>
      </c>
      <c r="H61" s="234">
        <f>M13*(RAB!$I$5/RAB!J$5)</f>
        <v>148.55079591833257</v>
      </c>
      <c r="I61" s="234">
        <f>N13*(RAB!$I$5/RAB!K$5)</f>
        <v>131.82679215922394</v>
      </c>
      <c r="J61" s="234">
        <f>O13*(RAB!$I$5/RAB!L$5)</f>
        <v>133.72679215922392</v>
      </c>
      <c r="K61" s="234">
        <f>P13*(RAB!$I$5/RAB!M$5)</f>
        <v>134.87679215922398</v>
      </c>
      <c r="L61" s="234">
        <f>Q13*(RAB!$I$5/RAB!N$5)</f>
        <v>135.27679215922393</v>
      </c>
      <c r="M61" s="234">
        <f>R13*(RAB!$I$5/RAB!O$5)</f>
        <v>135.67679215922396</v>
      </c>
      <c r="Q61" s="255"/>
    </row>
    <row r="62" spans="1:18">
      <c r="A62" s="232" t="s">
        <v>323</v>
      </c>
      <c r="B62" s="63" t="s">
        <v>40</v>
      </c>
      <c r="C62" t="s">
        <v>53</v>
      </c>
      <c r="D62" s="234">
        <f>I14*(RAB!$I$5/RAB!F$5)</f>
        <v>2605.1736206964292</v>
      </c>
      <c r="E62" s="234">
        <f>J14*(RAB!$I$5/RAB!G$5)</f>
        <v>2510.3207455432648</v>
      </c>
      <c r="F62" s="234">
        <f>K14*(RAB!$I$5/RAB!H$5)</f>
        <v>2433.0458936177542</v>
      </c>
      <c r="G62" s="234">
        <f>L14*(RAB!$I$5/RAB!I$5)</f>
        <v>2337.1406286682231</v>
      </c>
      <c r="H62" s="234">
        <f>M14*(RAB!$I$5/RAB!J$5)</f>
        <v>2202.4221778593242</v>
      </c>
      <c r="I62" s="234">
        <f>N14*(RAB!$I$5/RAB!K$5)</f>
        <v>2118.0953857001009</v>
      </c>
      <c r="J62" s="234">
        <f>O14*(RAB!$I$5/RAB!L$5)</f>
        <v>2031.8685935408769</v>
      </c>
      <c r="K62" s="234">
        <f>P14*(RAB!$I$5/RAB!M$5)</f>
        <v>1906.991801381653</v>
      </c>
      <c r="L62" s="234">
        <f>Q14*(RAB!$I$5/RAB!N$5)</f>
        <v>1781.7150092224292</v>
      </c>
      <c r="M62" s="234">
        <f>R14*(RAB!$I$5/RAB!O$5)</f>
        <v>1656.0382170632051</v>
      </c>
      <c r="Q62" s="255"/>
    </row>
    <row r="63" spans="1:18">
      <c r="A63" s="232" t="s">
        <v>236</v>
      </c>
      <c r="B63" s="63" t="s">
        <v>40</v>
      </c>
      <c r="C63" t="s">
        <v>53</v>
      </c>
      <c r="D63" s="234">
        <f>I15*(RAB!$I$5/RAB!F$5)</f>
        <v>2638.1381530639142</v>
      </c>
      <c r="E63" s="234">
        <f>J15*(RAB!$I$5/RAB!G$5)</f>
        <v>2569.619749330428</v>
      </c>
      <c r="F63" s="234">
        <f>K15*(RAB!$I$5/RAB!H$5)</f>
        <v>2485.6091749369293</v>
      </c>
      <c r="G63" s="234">
        <f>L15*(RAB!$I$5/RAB!I$5)</f>
        <v>2397.5989552843394</v>
      </c>
      <c r="H63" s="234">
        <f>M15*(RAB!$I$5/RAB!J$5)</f>
        <v>2276.6975758184903</v>
      </c>
      <c r="I63" s="234">
        <f>N15*(RAB!$I$5/RAB!K$5)</f>
        <v>2160.258781779713</v>
      </c>
      <c r="J63" s="234">
        <f>O15*(RAB!$I$5/RAB!L$5)</f>
        <v>2074.981989620489</v>
      </c>
      <c r="K63" s="234">
        <f>P15*(RAB!$I$5/RAB!M$5)</f>
        <v>1969.4301974612649</v>
      </c>
      <c r="L63" s="234">
        <f>Q15*(RAB!$I$5/RAB!N$5)</f>
        <v>1844.3534053020412</v>
      </c>
      <c r="M63" s="234">
        <f>R15*(RAB!$I$5/RAB!O$5)</f>
        <v>1718.876613142817</v>
      </c>
      <c r="Q63" s="255"/>
    </row>
    <row r="64" spans="1:18">
      <c r="A64" s="63"/>
      <c r="B64" s="63"/>
      <c r="C64" s="63"/>
      <c r="D64" s="63"/>
      <c r="E64" s="63"/>
      <c r="F64" s="63"/>
      <c r="G64" s="63"/>
      <c r="H64" s="63"/>
      <c r="I64" s="63"/>
      <c r="J64" s="63"/>
      <c r="K64" s="63"/>
      <c r="L64" s="63"/>
      <c r="M64" s="63"/>
      <c r="Q64" s="255"/>
    </row>
    <row r="65" spans="1:17">
      <c r="A65" s="65" t="s">
        <v>338</v>
      </c>
      <c r="B65" s="1" t="s">
        <v>10</v>
      </c>
      <c r="C65" s="1" t="s">
        <v>11</v>
      </c>
      <c r="D65" s="236" t="s">
        <v>0</v>
      </c>
      <c r="E65" s="236" t="s">
        <v>1</v>
      </c>
      <c r="F65" s="236" t="s">
        <v>2</v>
      </c>
      <c r="G65" s="236" t="s">
        <v>3</v>
      </c>
      <c r="H65" s="236" t="s">
        <v>4</v>
      </c>
      <c r="I65" s="236" t="s">
        <v>5</v>
      </c>
      <c r="J65" s="236" t="s">
        <v>6</v>
      </c>
      <c r="K65" s="236" t="s">
        <v>7</v>
      </c>
      <c r="L65" s="236" t="s">
        <v>8</v>
      </c>
      <c r="M65" s="236" t="s">
        <v>9</v>
      </c>
      <c r="Q65" s="255"/>
    </row>
    <row r="66" spans="1:17">
      <c r="A66" s="232" t="s">
        <v>322</v>
      </c>
      <c r="B66" s="63" t="s">
        <v>40</v>
      </c>
      <c r="C66" t="s">
        <v>53</v>
      </c>
      <c r="D66" s="234">
        <f>I18*(RAB!$I$5/RAB!F$5)</f>
        <v>1658.7262844520676</v>
      </c>
      <c r="E66" s="234">
        <f>J18*(RAB!$I$5/RAB!G$5)</f>
        <v>3572.1330568356889</v>
      </c>
      <c r="F66" s="234">
        <f>K18*(RAB!$I$5/RAB!H$5)</f>
        <v>6405.9541229590986</v>
      </c>
      <c r="G66" s="234">
        <f>L18*(RAB!$I$5/RAB!I$5)</f>
        <v>8351.7178275710266</v>
      </c>
      <c r="H66" s="234">
        <f>M18*(RAB!$I$5/RAB!J$5)</f>
        <v>9773.4249597974976</v>
      </c>
      <c r="I66" s="234">
        <f>N18*(RAB!$I$5/RAB!K$5)</f>
        <v>12132.416277047852</v>
      </c>
      <c r="J66" s="234">
        <f>O18*(RAB!$I$5/RAB!L$5)</f>
        <v>16287.447046278623</v>
      </c>
      <c r="K66" s="234">
        <f>P18*(RAB!$I$5/RAB!M$5)</f>
        <v>19285.6701232017</v>
      </c>
      <c r="L66" s="234">
        <f>Q18*(RAB!$I$5/RAB!N$5)</f>
        <v>20873.293200124783</v>
      </c>
      <c r="M66" s="234">
        <f>R18*(RAB!$I$5/RAB!O$5)</f>
        <v>15046.016277047858</v>
      </c>
      <c r="Q66" s="255"/>
    </row>
    <row r="67" spans="1:17">
      <c r="A67" s="232" t="s">
        <v>59</v>
      </c>
      <c r="B67" s="63" t="s">
        <v>40</v>
      </c>
      <c r="C67" t="s">
        <v>53</v>
      </c>
      <c r="D67" s="234">
        <f>I19*(RAB!$I$5/RAB!F$5)</f>
        <v>1881.1422635014105</v>
      </c>
      <c r="E67" s="234">
        <f>J19*(RAB!$I$5/RAB!G$5)</f>
        <v>2763.5276624452549</v>
      </c>
      <c r="F67" s="234">
        <f>K19*(RAB!$I$5/RAB!H$5)</f>
        <v>1860.7827487363027</v>
      </c>
      <c r="G67" s="234">
        <f>L19*(RAB!$I$5/RAB!I$5)</f>
        <v>1364.203541818182</v>
      </c>
      <c r="H67" s="234">
        <f>M19*(RAB!$I$5/RAB!J$5)</f>
        <v>3498.9211146059465</v>
      </c>
      <c r="I67" s="234">
        <f>N19*(RAB!$I$5/RAB!K$5)</f>
        <v>5074.2615384615383</v>
      </c>
      <c r="J67" s="234">
        <f>O19*(RAB!$I$5/RAB!L$5)</f>
        <v>3991.1461538461544</v>
      </c>
      <c r="K67" s="234">
        <f>P19*(RAB!$I$5/RAB!M$5)</f>
        <v>3299.6846153846159</v>
      </c>
      <c r="L67" s="234">
        <f>Q19*(RAB!$I$5/RAB!N$5)</f>
        <v>2784.1153846153857</v>
      </c>
      <c r="M67" s="234">
        <f>R19*(RAB!$I$5/RAB!O$5)</f>
        <v>2149.7307692307691</v>
      </c>
      <c r="Q67" s="255"/>
    </row>
    <row r="68" spans="1:17">
      <c r="A68" s="232" t="s">
        <v>63</v>
      </c>
      <c r="B68" s="63" t="s">
        <v>40</v>
      </c>
      <c r="C68" t="s">
        <v>53</v>
      </c>
      <c r="D68" s="234">
        <f>I20*(RAB!$I$5/RAB!F$5)</f>
        <v>0</v>
      </c>
      <c r="E68" s="234">
        <f>J20*(RAB!$I$5/RAB!G$5)</f>
        <v>0</v>
      </c>
      <c r="F68" s="234">
        <f>K20*(RAB!$I$5/RAB!H$5)</f>
        <v>0</v>
      </c>
      <c r="G68" s="234">
        <f>L20*(RAB!$I$5/RAB!I$5)</f>
        <v>0</v>
      </c>
      <c r="H68" s="234">
        <f>M20*(RAB!$I$5/RAB!J$5)</f>
        <v>821.13729948125365</v>
      </c>
      <c r="I68" s="234">
        <f>N20*(RAB!$I$5/RAB!K$5)</f>
        <v>919.23076923076917</v>
      </c>
      <c r="J68" s="234">
        <f>O20*(RAB!$I$5/RAB!L$5)</f>
        <v>992.92307692307691</v>
      </c>
      <c r="K68" s="234">
        <f>P20*(RAB!$I$5/RAB!M$5)</f>
        <v>1712.0615384615387</v>
      </c>
      <c r="L68" s="234">
        <f>Q20*(RAB!$I$5/RAB!N$5)</f>
        <v>8611.3923076923093</v>
      </c>
      <c r="M68" s="234">
        <f>R20*(RAB!$I$5/RAB!O$5)</f>
        <v>9013.3538461538483</v>
      </c>
      <c r="Q68" s="255"/>
    </row>
    <row r="69" spans="1:17">
      <c r="A69" s="232" t="s">
        <v>245</v>
      </c>
      <c r="B69" s="63" t="s">
        <v>40</v>
      </c>
      <c r="C69" t="s">
        <v>53</v>
      </c>
      <c r="D69" s="234">
        <f>I21*(RAB!$I$5/RAB!F$5)</f>
        <v>0</v>
      </c>
      <c r="E69" s="234">
        <f>J21*(RAB!$I$5/RAB!G$5)</f>
        <v>0</v>
      </c>
      <c r="F69" s="234">
        <f>K21*(RAB!$I$5/RAB!H$5)</f>
        <v>0</v>
      </c>
      <c r="G69" s="234">
        <f>L21*(RAB!$I$5/RAB!I$5)</f>
        <v>0</v>
      </c>
      <c r="H69" s="234">
        <f>M21*(RAB!$I$5/RAB!J$5)</f>
        <v>318.79249787433997</v>
      </c>
      <c r="I69" s="234">
        <f>N21*(RAB!$I$5/RAB!K$5)</f>
        <v>0</v>
      </c>
      <c r="J69" s="234">
        <f>O21*(RAB!$I$5/RAB!L$5)</f>
        <v>0</v>
      </c>
      <c r="K69" s="234">
        <f>P21*(RAB!$I$5/RAB!M$5)</f>
        <v>0</v>
      </c>
      <c r="L69" s="234">
        <f>Q21*(RAB!$I$5/RAB!N$5)</f>
        <v>0</v>
      </c>
      <c r="M69" s="234">
        <f>R21*(RAB!$I$5/RAB!O$5)</f>
        <v>0</v>
      </c>
      <c r="Q69" s="255"/>
    </row>
    <row r="70" spans="1:17">
      <c r="A70" s="232" t="s">
        <v>323</v>
      </c>
      <c r="B70" s="63" t="s">
        <v>40</v>
      </c>
      <c r="C70" t="s">
        <v>53</v>
      </c>
      <c r="D70" s="234">
        <f>I22*(RAB!$I$5/RAB!F$5)</f>
        <v>3539.8685479534779</v>
      </c>
      <c r="E70" s="234">
        <f>J22*(RAB!$I$5/RAB!G$5)</f>
        <v>6335.6607192809442</v>
      </c>
      <c r="F70" s="234">
        <f>K22*(RAB!$I$5/RAB!H$5)</f>
        <v>8266.7368716954024</v>
      </c>
      <c r="G70" s="234">
        <f>L22*(RAB!$I$5/RAB!I$5)</f>
        <v>9715.921369389207</v>
      </c>
      <c r="H70" s="234">
        <f>M22*(RAB!$I$5/RAB!J$5)</f>
        <v>12132.416277047851</v>
      </c>
      <c r="I70" s="234">
        <f>N22*(RAB!$I$5/RAB!K$5)</f>
        <v>16287.447046278623</v>
      </c>
      <c r="J70" s="234">
        <f>O22*(RAB!$I$5/RAB!L$5)</f>
        <v>19285.6701232017</v>
      </c>
      <c r="K70" s="234">
        <f>P22*(RAB!$I$5/RAB!M$5)</f>
        <v>20873.293200124779</v>
      </c>
      <c r="L70" s="234">
        <f>Q22*(RAB!$I$5/RAB!N$5)</f>
        <v>15046.016277047858</v>
      </c>
      <c r="M70" s="234">
        <f>R22*(RAB!$I$5/RAB!O$5)</f>
        <v>8182.3932001247786</v>
      </c>
      <c r="Q70" s="255"/>
    </row>
    <row r="71" spans="1:17">
      <c r="A71" s="232" t="s">
        <v>236</v>
      </c>
      <c r="B71" s="63" t="s">
        <v>40</v>
      </c>
      <c r="C71" t="s">
        <v>53</v>
      </c>
      <c r="D71" s="234">
        <f>I23*(RAB!$I$5/RAB!F$5)</f>
        <v>2599.2974162027731</v>
      </c>
      <c r="E71" s="234">
        <f>J23*(RAB!$I$5/RAB!G$5)</f>
        <v>4953.8968880583152</v>
      </c>
      <c r="F71" s="234">
        <f>K23*(RAB!$I$5/RAB!H$5)</f>
        <v>7336.3454973272501</v>
      </c>
      <c r="G71" s="234">
        <f>L23*(RAB!$I$5/RAB!I$5)</f>
        <v>9033.8195984801168</v>
      </c>
      <c r="H71" s="234">
        <f>M23*(RAB!$I$5/RAB!J$5)</f>
        <v>10952.920618422671</v>
      </c>
      <c r="I71" s="234">
        <f>N23*(RAB!$I$5/RAB!K$5)</f>
        <v>14209.931661663239</v>
      </c>
      <c r="J71" s="234">
        <f>O23*(RAB!$I$5/RAB!L$5)</f>
        <v>17786.55858474016</v>
      </c>
      <c r="K71" s="234">
        <f>P23*(RAB!$I$5/RAB!M$5)</f>
        <v>20079.481661663238</v>
      </c>
      <c r="L71" s="234">
        <f>Q23*(RAB!$I$5/RAB!N$5)</f>
        <v>17959.65473858632</v>
      </c>
      <c r="M71" s="234">
        <f>R23*(RAB!$I$5/RAB!O$5)</f>
        <v>11614.204738586319</v>
      </c>
      <c r="Q71" s="255"/>
    </row>
    <row r="72" spans="1:17">
      <c r="A72" s="63"/>
      <c r="B72" s="63"/>
      <c r="C72" s="63"/>
      <c r="D72" s="63"/>
      <c r="E72" s="63"/>
      <c r="F72" s="63"/>
      <c r="G72" s="63"/>
      <c r="H72" s="63"/>
      <c r="I72" s="63"/>
      <c r="J72" s="63"/>
      <c r="K72" s="63"/>
      <c r="L72" s="63"/>
      <c r="M72" s="63"/>
      <c r="Q72" s="255"/>
    </row>
    <row r="73" spans="1:17">
      <c r="A73" s="65" t="s">
        <v>335</v>
      </c>
      <c r="B73" s="1" t="s">
        <v>10</v>
      </c>
      <c r="C73" s="1" t="s">
        <v>11</v>
      </c>
      <c r="D73" s="236" t="s">
        <v>0</v>
      </c>
      <c r="E73" s="236" t="s">
        <v>1</v>
      </c>
      <c r="F73" s="236" t="s">
        <v>2</v>
      </c>
      <c r="G73" s="236" t="s">
        <v>3</v>
      </c>
      <c r="H73" s="236" t="s">
        <v>4</v>
      </c>
      <c r="I73" s="236" t="s">
        <v>5</v>
      </c>
      <c r="J73" s="236" t="s">
        <v>6</v>
      </c>
      <c r="K73" s="236" t="s">
        <v>7</v>
      </c>
      <c r="L73" s="236" t="s">
        <v>8</v>
      </c>
      <c r="M73" s="236" t="s">
        <v>9</v>
      </c>
      <c r="Q73" s="255"/>
    </row>
    <row r="74" spans="1:17">
      <c r="A74" s="232" t="s">
        <v>322</v>
      </c>
      <c r="B74" s="63" t="s">
        <v>40</v>
      </c>
      <c r="C74" t="s">
        <v>53</v>
      </c>
      <c r="D74" s="234">
        <f>I26*(RAB!$I$5/RAB!F$5)</f>
        <v>0</v>
      </c>
      <c r="E74" s="234">
        <f>J26*(RAB!$I$5/RAB!G$5)</f>
        <v>0</v>
      </c>
      <c r="F74" s="234">
        <f>K26*(RAB!$I$5/RAB!H$5)</f>
        <v>0</v>
      </c>
      <c r="G74" s="234">
        <f>L26*(RAB!$I$5/RAB!I$5)</f>
        <v>0</v>
      </c>
      <c r="H74" s="234">
        <f>M26*(RAB!$I$5/RAB!J$5)</f>
        <v>0</v>
      </c>
      <c r="I74" s="234">
        <f>N26*(RAB!$I$5/RAB!K$5)</f>
        <v>20728.497433699737</v>
      </c>
      <c r="J74" s="234">
        <f>O26*(RAB!$I$5/RAB!L$5)</f>
        <v>15666.373075274802</v>
      </c>
      <c r="K74" s="234">
        <f>P26*(RAB!$I$5/RAB!M$5)</f>
        <v>10574.248716849866</v>
      </c>
      <c r="L74" s="234">
        <f>Q26*(RAB!$I$5/RAB!N$5)</f>
        <v>5452.1243584249323</v>
      </c>
      <c r="M74" s="234">
        <f>R26*(RAB!$I$5/RAB!O$5)</f>
        <v>299.99999999999818</v>
      </c>
      <c r="Q74" s="255"/>
    </row>
    <row r="75" spans="1:17">
      <c r="A75" s="232" t="s">
        <v>59</v>
      </c>
      <c r="B75" s="63" t="s">
        <v>40</v>
      </c>
      <c r="C75" t="s">
        <v>53</v>
      </c>
      <c r="D75" s="234">
        <f>I27*(RAB!$I$5/RAB!F$5)</f>
        <v>0</v>
      </c>
      <c r="E75" s="234">
        <f>J27*(RAB!$I$5/RAB!G$5)</f>
        <v>0</v>
      </c>
      <c r="F75" s="234">
        <f>K27*(RAB!$I$5/RAB!H$5)</f>
        <v>0</v>
      </c>
      <c r="G75" s="234">
        <f>L27*(RAB!$I$5/RAB!I$5)</f>
        <v>0</v>
      </c>
      <c r="H75" s="234">
        <f>M27*(RAB!$I$5/RAB!J$5)</f>
        <v>25910.621792124664</v>
      </c>
      <c r="I75" s="234">
        <f>N27*(RAB!$I$5/RAB!K$5)</f>
        <v>150</v>
      </c>
      <c r="J75" s="234">
        <f>O27*(RAB!$I$5/RAB!L$5)</f>
        <v>149.99999999999997</v>
      </c>
      <c r="K75" s="234">
        <f>P27*(RAB!$I$5/RAB!M$5)</f>
        <v>150.00000000000003</v>
      </c>
      <c r="L75" s="234">
        <f>Q27*(RAB!$I$5/RAB!N$5)</f>
        <v>150.00000000000003</v>
      </c>
      <c r="M75" s="234">
        <f>R27*(RAB!$I$5/RAB!O$5)</f>
        <v>150</v>
      </c>
      <c r="Q75" s="255"/>
    </row>
    <row r="76" spans="1:17">
      <c r="A76" s="232" t="s">
        <v>60</v>
      </c>
      <c r="B76" s="63" t="s">
        <v>40</v>
      </c>
      <c r="C76" t="s">
        <v>53</v>
      </c>
      <c r="D76" s="234">
        <f>I28*(RAB!$I$5/RAB!F$5)</f>
        <v>0</v>
      </c>
      <c r="E76" s="234">
        <f>J28*(RAB!$I$5/RAB!G$5)</f>
        <v>0</v>
      </c>
      <c r="F76" s="234">
        <f>K28*(RAB!$I$5/RAB!H$5)</f>
        <v>0</v>
      </c>
      <c r="G76" s="234">
        <f>L28*(RAB!$I$5/RAB!I$5)</f>
        <v>0</v>
      </c>
      <c r="H76" s="234">
        <f>M28*(RAB!$I$5/RAB!J$5)</f>
        <v>5182.1243584249332</v>
      </c>
      <c r="I76" s="234">
        <f>N28*(RAB!$I$5/RAB!K$5)</f>
        <v>5212.1243584249341</v>
      </c>
      <c r="J76" s="234">
        <f>O28*(RAB!$I$5/RAB!L$5)</f>
        <v>5242.1243584249341</v>
      </c>
      <c r="K76" s="234">
        <f>P28*(RAB!$I$5/RAB!M$5)</f>
        <v>5272.1243584249341</v>
      </c>
      <c r="L76" s="234">
        <f>Q28*(RAB!$I$5/RAB!N$5)</f>
        <v>5302.1243584249351</v>
      </c>
      <c r="M76" s="234">
        <f>R28*(RAB!$I$5/RAB!O$5)</f>
        <v>150</v>
      </c>
      <c r="Q76" s="255"/>
    </row>
    <row r="77" spans="1:17">
      <c r="A77" s="232" t="s">
        <v>323</v>
      </c>
      <c r="B77" s="63" t="s">
        <v>40</v>
      </c>
      <c r="C77" t="s">
        <v>53</v>
      </c>
      <c r="D77" s="234">
        <f>I29*(RAB!$I$5/RAB!F$5)</f>
        <v>0</v>
      </c>
      <c r="E77" s="234">
        <f>J29*(RAB!$I$5/RAB!G$5)</f>
        <v>0</v>
      </c>
      <c r="F77" s="234">
        <f>K29*(RAB!$I$5/RAB!H$5)</f>
        <v>0</v>
      </c>
      <c r="G77" s="234">
        <f>L29*(RAB!$I$5/RAB!I$5)</f>
        <v>0</v>
      </c>
      <c r="H77" s="234">
        <f>M29*(RAB!$I$5/RAB!J$5)</f>
        <v>20728.497433699733</v>
      </c>
      <c r="I77" s="234">
        <f>N29*(RAB!$I$5/RAB!K$5)</f>
        <v>15666.373075274802</v>
      </c>
      <c r="J77" s="234">
        <f>O29*(RAB!$I$5/RAB!L$5)</f>
        <v>10574.248716849866</v>
      </c>
      <c r="K77" s="234">
        <f>P29*(RAB!$I$5/RAB!M$5)</f>
        <v>5452.1243584249332</v>
      </c>
      <c r="L77" s="234">
        <f>Q29*(RAB!$I$5/RAB!N$5)</f>
        <v>299.99999999999824</v>
      </c>
      <c r="M77" s="234">
        <f>R29*(RAB!$I$5/RAB!O$5)</f>
        <v>299.99999999999818</v>
      </c>
      <c r="Q77" s="255"/>
    </row>
    <row r="78" spans="1:17">
      <c r="A78" s="232" t="s">
        <v>236</v>
      </c>
      <c r="B78" s="63" t="s">
        <v>40</v>
      </c>
      <c r="C78" t="s">
        <v>53</v>
      </c>
      <c r="D78" s="234">
        <f>I30*(RAB!$I$5/RAB!F$5)</f>
        <v>0</v>
      </c>
      <c r="E78" s="234">
        <f>J30*(RAB!$I$5/RAB!G$5)</f>
        <v>0</v>
      </c>
      <c r="F78" s="234">
        <f>K30*(RAB!$I$5/RAB!H$5)</f>
        <v>0</v>
      </c>
      <c r="G78" s="234">
        <f>L30*(RAB!$I$5/RAB!I$5)</f>
        <v>0</v>
      </c>
      <c r="H78" s="234">
        <f>M30*(RAB!$I$5/RAB!J$5)</f>
        <v>10364.248716849866</v>
      </c>
      <c r="I78" s="234">
        <f>N30*(RAB!$I$5/RAB!K$5)</f>
        <v>18197.435254487267</v>
      </c>
      <c r="J78" s="234">
        <f>O30*(RAB!$I$5/RAB!L$5)</f>
        <v>13120.310896062334</v>
      </c>
      <c r="K78" s="234">
        <f>P30*(RAB!$I$5/RAB!M$5)</f>
        <v>8013.1865376373999</v>
      </c>
      <c r="L78" s="234">
        <f>Q30*(RAB!$I$5/RAB!N$5)</f>
        <v>2876.0621792124653</v>
      </c>
      <c r="M78" s="234">
        <f>R30*(RAB!$I$5/RAB!O$5)</f>
        <v>299.99999999999818</v>
      </c>
      <c r="Q78" s="255"/>
    </row>
    <row r="79" spans="1:17" s="285" customFormat="1">
      <c r="A79" s="232"/>
      <c r="B79" s="286"/>
      <c r="D79" s="234"/>
      <c r="E79" s="234"/>
      <c r="F79" s="234"/>
      <c r="G79" s="234"/>
      <c r="H79" s="234"/>
      <c r="I79" s="234"/>
      <c r="J79" s="234"/>
      <c r="K79" s="234"/>
      <c r="L79" s="234"/>
      <c r="M79" s="234"/>
      <c r="Q79" s="255"/>
    </row>
    <row r="80" spans="1:17" s="285" customFormat="1">
      <c r="A80" s="65" t="s">
        <v>662</v>
      </c>
      <c r="B80" s="1" t="s">
        <v>10</v>
      </c>
      <c r="C80" s="1" t="s">
        <v>11</v>
      </c>
      <c r="D80" s="236" t="s">
        <v>0</v>
      </c>
      <c r="E80" s="236" t="s">
        <v>1</v>
      </c>
      <c r="F80" s="236" t="s">
        <v>2</v>
      </c>
      <c r="G80" s="236" t="s">
        <v>3</v>
      </c>
      <c r="H80" s="236" t="s">
        <v>4</v>
      </c>
      <c r="I80" s="236" t="s">
        <v>5</v>
      </c>
      <c r="J80" s="236" t="s">
        <v>6</v>
      </c>
      <c r="K80" s="236" t="s">
        <v>7</v>
      </c>
      <c r="L80" s="236" t="s">
        <v>8</v>
      </c>
      <c r="M80" s="236" t="s">
        <v>9</v>
      </c>
      <c r="Q80" s="255"/>
    </row>
    <row r="81" spans="1:17" s="285" customFormat="1">
      <c r="A81" s="286" t="s">
        <v>322</v>
      </c>
      <c r="B81" s="286" t="s">
        <v>40</v>
      </c>
      <c r="C81" s="285" t="s">
        <v>53</v>
      </c>
      <c r="D81" s="234">
        <f>I33*(RAB!$I$5/RAB!F$5)</f>
        <v>0</v>
      </c>
      <c r="E81" s="234">
        <f>J33*(RAB!$I$5/RAB!G$5)</f>
        <v>0</v>
      </c>
      <c r="F81" s="234">
        <f>K33*(RAB!$I$5/RAB!H$5)</f>
        <v>0</v>
      </c>
      <c r="G81" s="234">
        <f>L33*(RAB!$I$5/RAB!I$5)</f>
        <v>1916.0735236605399</v>
      </c>
      <c r="H81" s="234">
        <f>M33*(RAB!$I$5/RAB!J$5)</f>
        <v>963.70689350938585</v>
      </c>
      <c r="I81" s="234">
        <f>N33*(RAB!$I$5/RAB!K$5)</f>
        <v>0</v>
      </c>
      <c r="J81" s="234">
        <f>O33*(RAB!$I$5/RAB!L$5)</f>
        <v>0</v>
      </c>
      <c r="K81" s="234">
        <f>P33*(RAB!$I$5/RAB!M$5)</f>
        <v>0</v>
      </c>
      <c r="L81" s="234">
        <f>Q33*(RAB!$I$5/RAB!N$5)</f>
        <v>0</v>
      </c>
      <c r="M81" s="234">
        <f>R33*(RAB!$I$5/RAB!O$5)</f>
        <v>0</v>
      </c>
      <c r="Q81" s="255"/>
    </row>
    <row r="82" spans="1:17" s="285" customFormat="1">
      <c r="A82" s="286" t="s">
        <v>59</v>
      </c>
      <c r="B82" s="286" t="s">
        <v>40</v>
      </c>
      <c r="C82" s="285" t="s">
        <v>53</v>
      </c>
      <c r="D82" s="234">
        <f>I34*(RAB!$I$5/RAB!F$5)</f>
        <v>0</v>
      </c>
      <c r="E82" s="234">
        <f>J34*(RAB!$I$5/RAB!G$5)</f>
        <v>0</v>
      </c>
      <c r="F82" s="234">
        <f>K34*(RAB!$I$5/RAB!H$5)</f>
        <v>0</v>
      </c>
      <c r="G82" s="234">
        <f>L34*(RAB!$I$5/RAB!I$5)</f>
        <v>0</v>
      </c>
      <c r="H82" s="234">
        <f>M34*(RAB!$I$5/RAB!J$5)</f>
        <v>0</v>
      </c>
      <c r="I82" s="234">
        <f>N34*(RAB!$I$5/RAB!K$5)</f>
        <v>0</v>
      </c>
      <c r="J82" s="234">
        <f>O34*(RAB!$I$5/RAB!L$5)</f>
        <v>0</v>
      </c>
      <c r="K82" s="234">
        <f>P34*(RAB!$I$5/RAB!M$5)</f>
        <v>0</v>
      </c>
      <c r="L82" s="234">
        <f>Q34*(RAB!$I$5/RAB!N$5)</f>
        <v>0</v>
      </c>
      <c r="M82" s="234">
        <f>R34*(RAB!$I$5/RAB!O$5)</f>
        <v>0</v>
      </c>
      <c r="Q82" s="255"/>
    </row>
    <row r="83" spans="1:17" s="285" customFormat="1">
      <c r="A83" s="286" t="s">
        <v>60</v>
      </c>
      <c r="B83" s="286" t="s">
        <v>40</v>
      </c>
      <c r="C83" s="285" t="s">
        <v>53</v>
      </c>
      <c r="D83" s="234">
        <f>I35*(RAB!$I$5/RAB!F$5)</f>
        <v>0</v>
      </c>
      <c r="E83" s="234">
        <f>J35*(RAB!$I$5/RAB!G$5)</f>
        <v>0</v>
      </c>
      <c r="F83" s="234">
        <f>K35*(RAB!$I$5/RAB!H$5)</f>
        <v>0</v>
      </c>
      <c r="G83" s="234">
        <f>L35*(RAB!$I$5/RAB!I$5)</f>
        <v>958.03676183026994</v>
      </c>
      <c r="H83" s="234">
        <f>M35*(RAB!$I$5/RAB!J$5)</f>
        <v>963.70689350938585</v>
      </c>
      <c r="I83" s="234">
        <f>N35*(RAB!$I$5/RAB!K$5)</f>
        <v>0</v>
      </c>
      <c r="J83" s="234">
        <f>O35*(RAB!$I$5/RAB!L$5)</f>
        <v>0</v>
      </c>
      <c r="K83" s="234">
        <f>P35*(RAB!$I$5/RAB!M$5)</f>
        <v>0</v>
      </c>
      <c r="L83" s="234">
        <f>Q35*(RAB!$I$5/RAB!N$5)</f>
        <v>0</v>
      </c>
      <c r="M83" s="234">
        <f>R35*(RAB!$I$5/RAB!O$5)</f>
        <v>0</v>
      </c>
      <c r="Q83" s="255"/>
    </row>
    <row r="84" spans="1:17" s="285" customFormat="1">
      <c r="A84" s="286" t="s">
        <v>323</v>
      </c>
      <c r="B84" s="286" t="s">
        <v>40</v>
      </c>
      <c r="C84" s="285" t="s">
        <v>53</v>
      </c>
      <c r="D84" s="234">
        <f>I36*(RAB!$I$5/RAB!F$5)</f>
        <v>0</v>
      </c>
      <c r="E84" s="234">
        <f>J36*(RAB!$I$5/RAB!G$5)</f>
        <v>0</v>
      </c>
      <c r="F84" s="234">
        <f>K36*(RAB!$I$5/RAB!H$5)</f>
        <v>0</v>
      </c>
      <c r="G84" s="234">
        <f>L36*(RAB!$I$5/RAB!I$5)</f>
        <v>958.03676183026994</v>
      </c>
      <c r="H84" s="234">
        <f>M36*(RAB!$I$5/RAB!J$5)</f>
        <v>0</v>
      </c>
      <c r="I84" s="234">
        <f>N36*(RAB!$I$5/RAB!K$5)</f>
        <v>0</v>
      </c>
      <c r="J84" s="234">
        <f>O36*(RAB!$I$5/RAB!L$5)</f>
        <v>0</v>
      </c>
      <c r="K84" s="234">
        <f>P36*(RAB!$I$5/RAB!M$5)</f>
        <v>0</v>
      </c>
      <c r="L84" s="234">
        <f>Q36*(RAB!$I$5/RAB!N$5)</f>
        <v>0</v>
      </c>
      <c r="M84" s="234">
        <f>R36*(RAB!$I$5/RAB!O$5)</f>
        <v>0</v>
      </c>
      <c r="Q84" s="255"/>
    </row>
    <row r="85" spans="1:17" s="285" customFormat="1">
      <c r="A85" s="286" t="s">
        <v>236</v>
      </c>
      <c r="B85" s="286" t="s">
        <v>40</v>
      </c>
      <c r="C85" s="285" t="s">
        <v>53</v>
      </c>
      <c r="D85" s="234">
        <f>I37*(RAB!$I$5/RAB!F$5)</f>
        <v>0</v>
      </c>
      <c r="E85" s="234">
        <f>J37*(RAB!$I$5/RAB!G$5)</f>
        <v>0</v>
      </c>
      <c r="F85" s="234">
        <f>K37*(RAB!$I$5/RAB!H$5)</f>
        <v>0</v>
      </c>
      <c r="G85" s="234">
        <f>L37*(RAB!$I$5/RAB!I$5)</f>
        <v>1437.0551427454047</v>
      </c>
      <c r="H85" s="234">
        <f>M37*(RAB!$I$5/RAB!J$5)</f>
        <v>481.85344675469292</v>
      </c>
      <c r="I85" s="234">
        <f>N37*(RAB!$I$5/RAB!K$5)</f>
        <v>0</v>
      </c>
      <c r="J85" s="234">
        <f>O37*(RAB!$I$5/RAB!L$5)</f>
        <v>0</v>
      </c>
      <c r="K85" s="234">
        <f>P37*(RAB!$I$5/RAB!M$5)</f>
        <v>0</v>
      </c>
      <c r="L85" s="234">
        <f>Q37*(RAB!$I$5/RAB!N$5)</f>
        <v>0</v>
      </c>
      <c r="M85" s="234">
        <f>R37*(RAB!$I$5/RAB!O$5)</f>
        <v>0</v>
      </c>
      <c r="Q85" s="255"/>
    </row>
    <row r="86" spans="1:17">
      <c r="Q86" s="255"/>
    </row>
    <row r="87" spans="1:17">
      <c r="A87" s="65" t="s">
        <v>326</v>
      </c>
      <c r="B87" s="1" t="s">
        <v>10</v>
      </c>
      <c r="C87" s="1" t="s">
        <v>11</v>
      </c>
      <c r="D87" s="236" t="s">
        <v>0</v>
      </c>
      <c r="E87" s="236" t="s">
        <v>1</v>
      </c>
      <c r="F87" s="236" t="s">
        <v>2</v>
      </c>
      <c r="G87" s="236" t="s">
        <v>3</v>
      </c>
      <c r="H87" s="236" t="s">
        <v>4</v>
      </c>
      <c r="I87" s="236" t="s">
        <v>5</v>
      </c>
      <c r="J87" s="236" t="s">
        <v>6</v>
      </c>
      <c r="K87" s="236" t="s">
        <v>7</v>
      </c>
      <c r="L87" s="236" t="s">
        <v>8</v>
      </c>
      <c r="M87" s="236" t="s">
        <v>9</v>
      </c>
      <c r="Q87" s="255"/>
    </row>
    <row r="88" spans="1:17">
      <c r="A88" s="232" t="s">
        <v>322</v>
      </c>
      <c r="B88" s="63" t="s">
        <v>40</v>
      </c>
      <c r="C88" t="s">
        <v>53</v>
      </c>
      <c r="D88" s="255">
        <f>D52+D59+D66+D74+D81</f>
        <v>11361.514945701236</v>
      </c>
      <c r="E88" s="255">
        <f t="shared" ref="E88:M88" si="7">E52+E59+E66+E74+E81</f>
        <v>10751.359246346286</v>
      </c>
      <c r="F88" s="255">
        <f t="shared" si="7"/>
        <v>12659.878754055866</v>
      </c>
      <c r="G88" s="255">
        <f t="shared" si="7"/>
        <v>15776.421055858049</v>
      </c>
      <c r="H88" s="255">
        <f t="shared" si="7"/>
        <v>15581.881166369178</v>
      </c>
      <c r="I88" s="255">
        <f t="shared" si="7"/>
        <v>37236.64420487039</v>
      </c>
      <c r="J88" s="255">
        <f t="shared" si="7"/>
        <v>39762.266756910518</v>
      </c>
      <c r="K88" s="255">
        <f t="shared" si="7"/>
        <v>40370.917897562933</v>
      </c>
      <c r="L88" s="255">
        <f t="shared" si="7"/>
        <v>36701.804735913422</v>
      </c>
      <c r="M88" s="255">
        <f t="shared" si="7"/>
        <v>25024.778856706966</v>
      </c>
      <c r="N88" s="255"/>
      <c r="Q88" s="255"/>
    </row>
    <row r="89" spans="1:17">
      <c r="A89" s="232" t="s">
        <v>59</v>
      </c>
      <c r="B89" s="63" t="s">
        <v>40</v>
      </c>
      <c r="C89" t="s">
        <v>53</v>
      </c>
      <c r="D89" s="255">
        <f>D53+D60+D67+D75+D82</f>
        <v>3256.0359860313074</v>
      </c>
      <c r="E89" s="255">
        <f t="shared" ref="E89:M89" si="8">E53+E60+E67+E75+E82</f>
        <v>3893.2712288217926</v>
      </c>
      <c r="F89" s="255">
        <f t="shared" si="8"/>
        <v>2667.0918098212901</v>
      </c>
      <c r="G89" s="255">
        <f t="shared" si="8"/>
        <v>2674.1557514388314</v>
      </c>
      <c r="H89" s="255">
        <f t="shared" si="8"/>
        <v>31048.74056874029</v>
      </c>
      <c r="I89" s="255">
        <f t="shared" si="8"/>
        <v>10171.049620518714</v>
      </c>
      <c r="J89" s="255">
        <f t="shared" si="8"/>
        <v>9093.7204064048165</v>
      </c>
      <c r="K89" s="255">
        <f t="shared" si="8"/>
        <v>6127.8114947817721</v>
      </c>
      <c r="L89" s="255">
        <f t="shared" si="8"/>
        <v>5345.7342631289703</v>
      </c>
      <c r="M89" s="255">
        <f t="shared" si="8"/>
        <v>4541.7151042041878</v>
      </c>
      <c r="N89" s="255"/>
      <c r="Q89" s="255"/>
    </row>
    <row r="90" spans="1:17">
      <c r="A90" s="232" t="s">
        <v>60</v>
      </c>
      <c r="B90" s="63" t="s">
        <v>40</v>
      </c>
      <c r="C90" t="s">
        <v>53</v>
      </c>
      <c r="D90" s="255">
        <f>D54+D61+D76+D83</f>
        <v>3963.3009812552236</v>
      </c>
      <c r="E90" s="255">
        <f t="shared" ref="E90:M90" si="9">E54+E61+E76+E83</f>
        <v>2123.6702882286854</v>
      </c>
      <c r="F90" s="255">
        <f t="shared" si="9"/>
        <v>1607.6557636723514</v>
      </c>
      <c r="G90" s="255">
        <f t="shared" si="9"/>
        <v>2960.3742608656726</v>
      </c>
      <c r="H90" s="255">
        <f t="shared" si="9"/>
        <v>8254.0477328834913</v>
      </c>
      <c r="I90" s="255">
        <f t="shared" si="9"/>
        <v>6726.1962992478202</v>
      </c>
      <c r="J90" s="255">
        <f t="shared" si="9"/>
        <v>7492.146188829327</v>
      </c>
      <c r="K90" s="255">
        <f t="shared" si="9"/>
        <v>8084.8631179697441</v>
      </c>
      <c r="L90" s="255">
        <f t="shared" si="9"/>
        <v>8411.3678346431225</v>
      </c>
      <c r="M90" s="255">
        <f t="shared" si="9"/>
        <v>3429.2750574618312</v>
      </c>
      <c r="N90" s="255"/>
      <c r="Q90" s="255"/>
    </row>
    <row r="91" spans="1:17">
      <c r="A91" s="232" t="s">
        <v>327</v>
      </c>
      <c r="B91" s="63" t="s">
        <v>40</v>
      </c>
      <c r="C91" t="s">
        <v>53</v>
      </c>
      <c r="D91" s="255">
        <f>D68</f>
        <v>0</v>
      </c>
      <c r="E91" s="255">
        <f t="shared" ref="E91:M91" si="10">E68</f>
        <v>0</v>
      </c>
      <c r="F91" s="255">
        <f t="shared" si="10"/>
        <v>0</v>
      </c>
      <c r="G91" s="255">
        <f t="shared" si="10"/>
        <v>0</v>
      </c>
      <c r="H91" s="255">
        <f t="shared" si="10"/>
        <v>821.13729948125365</v>
      </c>
      <c r="I91" s="255">
        <f t="shared" si="10"/>
        <v>919.23076923076917</v>
      </c>
      <c r="J91" s="255">
        <f t="shared" si="10"/>
        <v>992.92307692307691</v>
      </c>
      <c r="K91" s="255">
        <f t="shared" si="10"/>
        <v>1712.0615384615387</v>
      </c>
      <c r="L91" s="255">
        <f t="shared" si="10"/>
        <v>8611.3923076923093</v>
      </c>
      <c r="M91" s="255">
        <f t="shared" si="10"/>
        <v>9013.3538461538483</v>
      </c>
      <c r="N91" s="255"/>
      <c r="Q91" s="255"/>
    </row>
    <row r="92" spans="1:17">
      <c r="A92" s="232" t="s">
        <v>245</v>
      </c>
      <c r="B92" s="63" t="s">
        <v>40</v>
      </c>
      <c r="C92" t="s">
        <v>53</v>
      </c>
      <c r="D92" s="255">
        <f>D69</f>
        <v>0</v>
      </c>
      <c r="E92" s="255">
        <f t="shared" ref="E92:M92" si="11">E69</f>
        <v>0</v>
      </c>
      <c r="F92" s="255">
        <f t="shared" si="11"/>
        <v>0</v>
      </c>
      <c r="G92" s="255">
        <f t="shared" si="11"/>
        <v>0</v>
      </c>
      <c r="H92" s="255">
        <f t="shared" si="11"/>
        <v>318.79249787433997</v>
      </c>
      <c r="I92" s="255">
        <f t="shared" si="11"/>
        <v>0</v>
      </c>
      <c r="J92" s="255">
        <f t="shared" si="11"/>
        <v>0</v>
      </c>
      <c r="K92" s="255">
        <f t="shared" si="11"/>
        <v>0</v>
      </c>
      <c r="L92" s="255">
        <f t="shared" si="11"/>
        <v>0</v>
      </c>
      <c r="M92" s="255">
        <f t="shared" si="11"/>
        <v>0</v>
      </c>
      <c r="N92" s="255"/>
      <c r="Q92" s="255"/>
    </row>
    <row r="93" spans="1:17">
      <c r="A93" s="232" t="s">
        <v>323</v>
      </c>
      <c r="B93" s="63" t="s">
        <v>40</v>
      </c>
      <c r="C93" t="s">
        <v>53</v>
      </c>
      <c r="D93" s="255">
        <f>D55+D62+D70+D77+D84</f>
        <v>10654.249950477319</v>
      </c>
      <c r="E93" s="255">
        <f t="shared" ref="E93:M93" si="12">E55+E62+E70+E77+E84</f>
        <v>12520.960186939394</v>
      </c>
      <c r="F93" s="255">
        <f t="shared" si="12"/>
        <v>13719.314800204807</v>
      </c>
      <c r="G93" s="255">
        <f t="shared" si="12"/>
        <v>15490.202546431206</v>
      </c>
      <c r="H93" s="255">
        <f t="shared" si="12"/>
        <v>37236.644204870383</v>
      </c>
      <c r="I93" s="255">
        <f t="shared" si="12"/>
        <v>39762.266756910518</v>
      </c>
      <c r="J93" s="255">
        <f t="shared" si="12"/>
        <v>40370.917897562933</v>
      </c>
      <c r="K93" s="255">
        <f t="shared" si="12"/>
        <v>36701.804735913422</v>
      </c>
      <c r="L93" s="255">
        <f t="shared" si="12"/>
        <v>25024.778856706966</v>
      </c>
      <c r="M93" s="255">
        <f t="shared" si="12"/>
        <v>17123.865057295472</v>
      </c>
      <c r="N93" s="255"/>
      <c r="Q93" s="255"/>
    </row>
    <row r="94" spans="1:17">
      <c r="A94" s="232" t="s">
        <v>236</v>
      </c>
      <c r="B94" s="63" t="s">
        <v>40</v>
      </c>
      <c r="C94" t="s">
        <v>53</v>
      </c>
      <c r="D94" s="255">
        <f>D56+D63+D71+D78+D85</f>
        <v>11007.882448089276</v>
      </c>
      <c r="E94" s="255">
        <f t="shared" ref="E94:M94" si="13">E56+E63+E71+E78+E85</f>
        <v>11636.159716642838</v>
      </c>
      <c r="F94" s="255">
        <f t="shared" si="13"/>
        <v>13189.596777130337</v>
      </c>
      <c r="G94" s="255">
        <f t="shared" si="13"/>
        <v>15633.311801144628</v>
      </c>
      <c r="H94" s="255">
        <f t="shared" si="13"/>
        <v>26409.262685619775</v>
      </c>
      <c r="I94" s="255">
        <f t="shared" si="13"/>
        <v>38499.45548089045</v>
      </c>
      <c r="J94" s="255">
        <f t="shared" si="13"/>
        <v>40066.592327236722</v>
      </c>
      <c r="K94" s="255">
        <f t="shared" si="13"/>
        <v>38536.36131673817</v>
      </c>
      <c r="L94" s="255">
        <f t="shared" si="13"/>
        <v>30863.291796310194</v>
      </c>
      <c r="M94" s="255">
        <f t="shared" si="13"/>
        <v>21074.321957001215</v>
      </c>
      <c r="N94" s="255"/>
      <c r="Q94" s="255"/>
    </row>
    <row r="96" spans="1:17">
      <c r="I96" s="236"/>
      <c r="J96" s="236"/>
      <c r="K96" s="236"/>
      <c r="L96" s="236"/>
      <c r="M96" s="236"/>
    </row>
    <row r="97" spans="8:15">
      <c r="I97" s="255"/>
      <c r="J97" s="255"/>
      <c r="K97" s="255"/>
      <c r="L97" s="255"/>
      <c r="M97" s="255"/>
    </row>
    <row r="98" spans="8:15">
      <c r="I98" s="255"/>
      <c r="J98" s="255"/>
      <c r="K98" s="255"/>
      <c r="L98" s="255"/>
      <c r="M98" s="255"/>
    </row>
    <row r="99" spans="8:15">
      <c r="I99" s="255"/>
      <c r="J99" s="255"/>
      <c r="K99" s="255"/>
      <c r="L99" s="255"/>
      <c r="M99" s="255"/>
    </row>
    <row r="100" spans="8:15">
      <c r="I100" s="255"/>
      <c r="J100" s="255"/>
      <c r="K100" s="255"/>
      <c r="L100" s="255"/>
      <c r="M100" s="255"/>
    </row>
    <row r="101" spans="8:15">
      <c r="I101" s="255"/>
      <c r="J101" s="255"/>
      <c r="K101" s="255"/>
      <c r="L101" s="255"/>
      <c r="M101" s="255"/>
    </row>
    <row r="102" spans="8:15">
      <c r="I102" s="255"/>
      <c r="J102" s="255"/>
      <c r="K102" s="255"/>
      <c r="L102" s="255"/>
      <c r="M102" s="255"/>
    </row>
    <row r="103" spans="8:15">
      <c r="I103" s="255"/>
      <c r="J103" s="255"/>
      <c r="K103" s="255"/>
      <c r="L103" s="255"/>
      <c r="M103" s="255"/>
    </row>
    <row r="105" spans="8:15">
      <c r="I105" s="236"/>
      <c r="J105" s="236"/>
      <c r="K105" s="236"/>
      <c r="L105" s="236"/>
      <c r="M105" s="236"/>
    </row>
    <row r="106" spans="8:15">
      <c r="H106" s="232"/>
      <c r="I106" s="255"/>
      <c r="J106" s="255"/>
      <c r="K106" s="255"/>
      <c r="L106" s="255"/>
      <c r="M106" s="255"/>
    </row>
    <row r="107" spans="8:15">
      <c r="H107" s="232"/>
      <c r="I107" s="255"/>
      <c r="J107" s="255"/>
      <c r="K107" s="255"/>
      <c r="L107" s="255"/>
      <c r="M107" s="255"/>
    </row>
    <row r="108" spans="8:15">
      <c r="H108" s="232"/>
      <c r="I108" s="369"/>
      <c r="J108" s="369"/>
      <c r="K108" s="369"/>
      <c r="L108" s="369"/>
      <c r="M108" s="369"/>
    </row>
    <row r="109" spans="8:15">
      <c r="H109" s="232"/>
      <c r="I109" s="255"/>
      <c r="J109" s="255"/>
      <c r="K109" s="255"/>
      <c r="L109" s="255"/>
      <c r="M109" s="255"/>
      <c r="O109" s="370"/>
    </row>
    <row r="110" spans="8:15">
      <c r="H110" s="232"/>
      <c r="I110" s="255"/>
      <c r="J110" s="255"/>
      <c r="K110" s="255"/>
      <c r="L110" s="255"/>
      <c r="M110" s="255"/>
    </row>
    <row r="111" spans="8:15">
      <c r="H111" s="232"/>
      <c r="I111" s="255"/>
      <c r="J111" s="255"/>
      <c r="K111" s="255"/>
      <c r="L111" s="255"/>
      <c r="M111" s="255"/>
    </row>
    <row r="112" spans="8:15">
      <c r="H112" s="232"/>
      <c r="I112" s="255"/>
      <c r="J112" s="255"/>
      <c r="K112" s="255"/>
      <c r="L112" s="255"/>
      <c r="M112" s="255"/>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M52"/>
  <sheetViews>
    <sheetView showGridLines="0" zoomScale="80" zoomScaleNormal="80" workbookViewId="0"/>
  </sheetViews>
  <sheetFormatPr defaultColWidth="8.6640625" defaultRowHeight="14.25"/>
  <cols>
    <col min="1" max="1" width="58.6640625" customWidth="1"/>
    <col min="5" max="5" width="10" customWidth="1"/>
    <col min="6" max="6" width="9.6640625" customWidth="1"/>
    <col min="7" max="7" width="9.6640625" bestFit="1" customWidth="1"/>
    <col min="8" max="8" width="10.33203125" bestFit="1" customWidth="1"/>
    <col min="9" max="10" width="9.6640625" bestFit="1" customWidth="1"/>
  </cols>
  <sheetData>
    <row r="1" spans="1:13" ht="18">
      <c r="A1" s="256" t="s">
        <v>211</v>
      </c>
      <c r="B1" s="256"/>
    </row>
    <row r="2" spans="1:13" ht="18">
      <c r="A2" s="62"/>
    </row>
    <row r="3" spans="1:13">
      <c r="A3" s="1" t="s">
        <v>549</v>
      </c>
      <c r="B3" s="247" t="s">
        <v>10</v>
      </c>
      <c r="C3" s="247" t="s">
        <v>11</v>
      </c>
      <c r="D3" s="1"/>
      <c r="E3" s="227" t="s">
        <v>5</v>
      </c>
      <c r="F3" s="227" t="s">
        <v>6</v>
      </c>
      <c r="G3" s="227" t="s">
        <v>7</v>
      </c>
      <c r="H3" s="227" t="s">
        <v>8</v>
      </c>
      <c r="I3" s="227" t="s">
        <v>9</v>
      </c>
      <c r="J3" s="227" t="s">
        <v>236</v>
      </c>
    </row>
    <row r="4" spans="1:13" s="285" customFormat="1">
      <c r="A4" s="232" t="s">
        <v>589</v>
      </c>
      <c r="B4" s="286" t="s">
        <v>40</v>
      </c>
      <c r="C4" s="286" t="s">
        <v>53</v>
      </c>
      <c r="D4" s="65"/>
      <c r="E4" s="66">
        <f>Earnings!D61</f>
        <v>1678.435434146963</v>
      </c>
      <c r="F4" s="66">
        <f>Earnings!E61</f>
        <v>1754.3570302827952</v>
      </c>
      <c r="G4" s="66">
        <f>Earnings!F61</f>
        <v>1721.3768788625384</v>
      </c>
      <c r="H4" s="66">
        <f>Earnings!G61</f>
        <v>1538.6059557102419</v>
      </c>
      <c r="I4" s="66">
        <f>Earnings!H61</f>
        <v>1305.5871331980218</v>
      </c>
      <c r="J4" s="66">
        <f t="shared" ref="J4:J11" si="0">AVERAGE(E4:I4)</f>
        <v>1599.6724864401119</v>
      </c>
    </row>
    <row r="5" spans="1:13">
      <c r="A5" s="221" t="s">
        <v>553</v>
      </c>
      <c r="B5" s="286" t="s">
        <v>40</v>
      </c>
      <c r="C5" s="285" t="s">
        <v>53</v>
      </c>
      <c r="D5" s="5"/>
      <c r="E5" s="66">
        <f>Earnings!D62</f>
        <v>1158.7072046519629</v>
      </c>
      <c r="F5" s="66">
        <f>Earnings!E62</f>
        <v>1193.0880342177952</v>
      </c>
      <c r="G5" s="66">
        <f>Earnings!F62</f>
        <v>1154.2337416660489</v>
      </c>
      <c r="H5" s="66">
        <f>Earnings!G62</f>
        <v>970.08318969195579</v>
      </c>
      <c r="I5" s="66">
        <f>Earnings!H62</f>
        <v>735.91835596801025</v>
      </c>
      <c r="J5" s="66">
        <f t="shared" si="0"/>
        <v>1042.4061052391548</v>
      </c>
      <c r="M5" s="1"/>
    </row>
    <row r="6" spans="1:13" s="285" customFormat="1">
      <c r="A6" s="221" t="s">
        <v>552</v>
      </c>
      <c r="B6" s="286" t="s">
        <v>40</v>
      </c>
      <c r="C6" s="285" t="s">
        <v>53</v>
      </c>
      <c r="D6" s="5"/>
      <c r="E6" s="66">
        <f>Earnings!D63</f>
        <v>1048.6419486422028</v>
      </c>
      <c r="F6" s="66">
        <f>Earnings!E63</f>
        <v>1083.0227782080351</v>
      </c>
      <c r="G6" s="66">
        <f>Earnings!F63</f>
        <v>1044.1684856562888</v>
      </c>
      <c r="H6" s="66">
        <f>Earnings!G63</f>
        <v>860.01793368219535</v>
      </c>
      <c r="I6" s="66">
        <f>Earnings!H63</f>
        <v>625.85309995825003</v>
      </c>
      <c r="J6" s="66">
        <f t="shared" si="0"/>
        <v>932.34084922939439</v>
      </c>
      <c r="M6" s="1"/>
    </row>
    <row r="7" spans="1:13">
      <c r="A7" t="s">
        <v>46</v>
      </c>
      <c r="B7" s="63" t="s">
        <v>40</v>
      </c>
      <c r="C7" s="285" t="s">
        <v>53</v>
      </c>
      <c r="D7" s="5"/>
      <c r="E7" s="66">
        <f>Return!D10</f>
        <v>38499.45548089045</v>
      </c>
      <c r="F7" s="66">
        <f>Return!E10</f>
        <v>40066.592327236722</v>
      </c>
      <c r="G7" s="66">
        <f>Return!F10</f>
        <v>38536.36131673817</v>
      </c>
      <c r="H7" s="66">
        <f>Return!G10</f>
        <v>30863.291796310186</v>
      </c>
      <c r="I7" s="66">
        <f>Return!H10</f>
        <v>21074.321957001215</v>
      </c>
      <c r="J7" s="66">
        <f t="shared" si="0"/>
        <v>33808.00457563535</v>
      </c>
    </row>
    <row r="8" spans="1:13">
      <c r="A8" t="s">
        <v>159</v>
      </c>
      <c r="B8" s="63" t="s">
        <v>40</v>
      </c>
      <c r="C8" s="285" t="s">
        <v>53</v>
      </c>
      <c r="D8" s="5"/>
      <c r="E8" s="66">
        <f>E7*(1-WACC!$B$4)</f>
        <v>23099.673288534268</v>
      </c>
      <c r="F8" s="66">
        <f>F7*(1-WACC!$B$4)</f>
        <v>24039.955396342033</v>
      </c>
      <c r="G8" s="66">
        <f>G7*(1-WACC!$B$4)</f>
        <v>23121.8167900429</v>
      </c>
      <c r="H8" s="66">
        <f>H7*(1-WACC!$B$4)</f>
        <v>18517.975077786112</v>
      </c>
      <c r="I8" s="66">
        <f>I7*(1-WACC!$B$4)</f>
        <v>12644.593174200729</v>
      </c>
      <c r="J8" s="66">
        <f t="shared" si="0"/>
        <v>20284.802745381203</v>
      </c>
      <c r="K8" s="271"/>
    </row>
    <row r="9" spans="1:13" s="285" customFormat="1">
      <c r="A9" s="285" t="s">
        <v>593</v>
      </c>
      <c r="B9" s="285" t="s">
        <v>12</v>
      </c>
      <c r="D9" s="5"/>
      <c r="E9" s="270">
        <f t="shared" ref="E9:I11" si="1">E4/E$8</f>
        <v>7.2660570267895075E-2</v>
      </c>
      <c r="F9" s="270">
        <f t="shared" si="1"/>
        <v>7.2976717359040599E-2</v>
      </c>
      <c r="G9" s="270">
        <f t="shared" si="1"/>
        <v>7.4448167049045486E-2</v>
      </c>
      <c r="H9" s="270">
        <f t="shared" si="1"/>
        <v>8.3087159867491711E-2</v>
      </c>
      <c r="I9" s="270">
        <f t="shared" si="1"/>
        <v>0.10325260095056783</v>
      </c>
      <c r="J9" s="270">
        <f t="shared" ref="J9" si="2">AVERAGE(E9:I9)</f>
        <v>8.1285043098808143E-2</v>
      </c>
    </row>
    <row r="10" spans="1:13">
      <c r="A10" t="s">
        <v>594</v>
      </c>
      <c r="B10" t="s">
        <v>12</v>
      </c>
      <c r="D10" s="2"/>
      <c r="E10" s="270">
        <f t="shared" si="1"/>
        <v>5.0161194497374023E-2</v>
      </c>
      <c r="F10" s="270">
        <f t="shared" si="1"/>
        <v>4.9629378031181282E-2</v>
      </c>
      <c r="G10" s="270">
        <f t="shared" si="1"/>
        <v>4.9919682010589418E-2</v>
      </c>
      <c r="H10" s="270">
        <f t="shared" si="1"/>
        <v>5.2386029553288103E-2</v>
      </c>
      <c r="I10" s="270">
        <f t="shared" si="1"/>
        <v>5.8200239883520653E-2</v>
      </c>
      <c r="J10" s="270">
        <f t="shared" si="0"/>
        <v>5.2059304795190699E-2</v>
      </c>
    </row>
    <row r="11" spans="1:13">
      <c r="A11" t="s">
        <v>761</v>
      </c>
      <c r="B11" t="s">
        <v>12</v>
      </c>
      <c r="D11" s="2"/>
      <c r="E11" s="270">
        <f t="shared" si="1"/>
        <v>4.539639740977227E-2</v>
      </c>
      <c r="F11" s="270">
        <f t="shared" si="1"/>
        <v>4.5050947905370488E-2</v>
      </c>
      <c r="G11" s="270">
        <f t="shared" si="1"/>
        <v>4.5159448115078306E-2</v>
      </c>
      <c r="H11" s="270">
        <f t="shared" si="1"/>
        <v>4.6442331306183693E-2</v>
      </c>
      <c r="I11" s="270">
        <f t="shared" si="1"/>
        <v>4.949570866662624E-2</v>
      </c>
      <c r="J11" s="270">
        <f t="shared" si="0"/>
        <v>4.6308966680606203E-2</v>
      </c>
      <c r="K11" s="225"/>
    </row>
    <row r="12" spans="1:13">
      <c r="E12" s="225"/>
      <c r="F12" s="225"/>
      <c r="G12" s="225"/>
      <c r="H12" s="225"/>
      <c r="I12" s="225"/>
    </row>
    <row r="15" spans="1:13">
      <c r="A15" s="1" t="s">
        <v>238</v>
      </c>
      <c r="C15" s="3"/>
    </row>
    <row r="16" spans="1:13">
      <c r="C16" s="3"/>
      <c r="E16" s="1"/>
    </row>
    <row r="17" spans="1:12">
      <c r="A17" t="s">
        <v>837</v>
      </c>
      <c r="B17" t="s">
        <v>12</v>
      </c>
      <c r="C17" s="72">
        <f>(1-'FD allowances'!B5)</f>
        <v>0.25</v>
      </c>
    </row>
    <row r="19" spans="1:12">
      <c r="B19" s="247" t="s">
        <v>10</v>
      </c>
      <c r="C19" s="247" t="s">
        <v>11</v>
      </c>
      <c r="E19" s="236" t="s">
        <v>5</v>
      </c>
      <c r="F19" s="236" t="s">
        <v>6</v>
      </c>
      <c r="G19" s="236" t="s">
        <v>7</v>
      </c>
      <c r="H19" s="236" t="s">
        <v>8</v>
      </c>
      <c r="I19" s="236" t="s">
        <v>9</v>
      </c>
      <c r="J19" s="236" t="s">
        <v>236</v>
      </c>
    </row>
    <row r="20" spans="1:12">
      <c r="A20" t="s">
        <v>239</v>
      </c>
      <c r="B20" t="s">
        <v>12</v>
      </c>
      <c r="C20" s="285"/>
      <c r="E20" s="270">
        <f>Scenarios!D10</f>
        <v>-2.6225322279194843E-2</v>
      </c>
      <c r="F20" s="270">
        <f>Scenarios!E10</f>
        <v>-2.5540245550990107E-2</v>
      </c>
      <c r="G20" s="270">
        <f>Scenarios!F10</f>
        <v>-2.6726164877126646E-2</v>
      </c>
      <c r="H20" s="270">
        <f>Scenarios!G10</f>
        <v>-3.4364331164098136E-2</v>
      </c>
      <c r="I20" s="270">
        <f>Scenarios!H10</f>
        <v>-4.5390952822689998E-2</v>
      </c>
      <c r="J20" s="270">
        <f>AVERAGE(E20:I20)</f>
        <v>-3.1649403338819951E-2</v>
      </c>
      <c r="K20" s="1"/>
    </row>
    <row r="21" spans="1:12">
      <c r="A21" t="s">
        <v>649</v>
      </c>
      <c r="B21" t="s">
        <v>12</v>
      </c>
      <c r="C21" s="285"/>
      <c r="E21" s="270">
        <f>Scenarios!D17</f>
        <v>-1.3112661139597422E-2</v>
      </c>
      <c r="F21" s="270">
        <f>Scenarios!E17</f>
        <v>-1.2770122775495054E-2</v>
      </c>
      <c r="G21" s="270">
        <f>Scenarios!F17</f>
        <v>-1.3363082438563323E-2</v>
      </c>
      <c r="H21" s="270">
        <f>Scenarios!G17</f>
        <v>-1.7182165582049068E-2</v>
      </c>
      <c r="I21" s="270">
        <f>Scenarios!H17</f>
        <v>-2.2695476411344999E-2</v>
      </c>
      <c r="J21" s="270">
        <f t="shared" ref="J21:J23" si="3">AVERAGE(E21:I21)</f>
        <v>-1.5824701669409975E-2</v>
      </c>
    </row>
    <row r="22" spans="1:12">
      <c r="A22" t="s">
        <v>240</v>
      </c>
      <c r="B22" t="s">
        <v>12</v>
      </c>
      <c r="C22" s="285"/>
      <c r="E22" s="270">
        <f>Scenarios!D24</f>
        <v>2.6225322279194843E-2</v>
      </c>
      <c r="F22" s="270">
        <f>Scenarios!E24</f>
        <v>2.5540245550990107E-2</v>
      </c>
      <c r="G22" s="270">
        <f>Scenarios!F24</f>
        <v>2.6726164877126646E-2</v>
      </c>
      <c r="H22" s="270">
        <f>Scenarios!G24</f>
        <v>3.4364331164098136E-2</v>
      </c>
      <c r="I22" s="270">
        <f>Scenarios!H24</f>
        <v>4.5390952822689998E-2</v>
      </c>
      <c r="J22" s="270">
        <f t="shared" si="3"/>
        <v>3.1649403338819951E-2</v>
      </c>
    </row>
    <row r="23" spans="1:12">
      <c r="A23" t="s">
        <v>650</v>
      </c>
      <c r="B23" t="s">
        <v>12</v>
      </c>
      <c r="C23" s="285"/>
      <c r="E23" s="270">
        <f>Scenarios!D31</f>
        <v>1.3112661139597422E-2</v>
      </c>
      <c r="F23" s="270">
        <f>Scenarios!E31</f>
        <v>1.2770122775495054E-2</v>
      </c>
      <c r="G23" s="270">
        <f>Scenarios!F31</f>
        <v>1.3363082438563323E-2</v>
      </c>
      <c r="H23" s="270">
        <f>Scenarios!G31</f>
        <v>1.7182165582049068E-2</v>
      </c>
      <c r="I23" s="270">
        <f>Scenarios!H31</f>
        <v>2.2695476411344999E-2</v>
      </c>
      <c r="J23" s="270">
        <f t="shared" si="3"/>
        <v>1.5824701669409975E-2</v>
      </c>
      <c r="L23" s="1"/>
    </row>
    <row r="24" spans="1:12" s="285" customFormat="1">
      <c r="E24" s="270"/>
      <c r="F24" s="270"/>
      <c r="G24" s="270"/>
      <c r="H24" s="270"/>
      <c r="I24" s="270"/>
      <c r="J24" s="270"/>
      <c r="L24" s="1"/>
    </row>
    <row r="25" spans="1:12" s="285" customFormat="1">
      <c r="A25" s="285" t="s">
        <v>757</v>
      </c>
      <c r="B25" s="285" t="s">
        <v>12</v>
      </c>
      <c r="E25" s="270">
        <f>Scenarios!D40</f>
        <v>-3.4898385089254531E-2</v>
      </c>
      <c r="F25" s="270">
        <f>Scenarios!E40</f>
        <v>-3.38838241442826E-2</v>
      </c>
      <c r="G25" s="270">
        <f>Scenarios!F40</f>
        <v>-3.141715173168444E-2</v>
      </c>
      <c r="H25" s="270">
        <f>Scenarios!G40</f>
        <v>-3.963869643187324E-2</v>
      </c>
      <c r="I25" s="270">
        <f>Scenarios!H40</f>
        <v>-5.2571916600289981E-2</v>
      </c>
      <c r="J25" s="270">
        <f>AVERAGE(E25:I25)</f>
        <v>-3.8481994799476962E-2</v>
      </c>
      <c r="L25" s="1"/>
    </row>
    <row r="26" spans="1:12" s="285" customFormat="1">
      <c r="A26" s="285" t="s">
        <v>758</v>
      </c>
      <c r="B26" s="285" t="s">
        <v>12</v>
      </c>
      <c r="E26" s="270">
        <f>Scenarios!D47</f>
        <v>-1.7449192544627266E-2</v>
      </c>
      <c r="F26" s="270">
        <f>Scenarios!E47</f>
        <v>-1.69419120721413E-2</v>
      </c>
      <c r="G26" s="270">
        <f>Scenarios!F47</f>
        <v>-1.570857586584222E-2</v>
      </c>
      <c r="H26" s="270">
        <f>Scenarios!G47</f>
        <v>-1.981934821593662E-2</v>
      </c>
      <c r="I26" s="270">
        <f>Scenarios!H47</f>
        <v>-2.628595830014499E-2</v>
      </c>
      <c r="J26" s="270">
        <f t="shared" ref="J26:J28" si="4">AVERAGE(E26:I26)</f>
        <v>-1.9240997399738481E-2</v>
      </c>
      <c r="L26" s="1"/>
    </row>
    <row r="27" spans="1:12" s="285" customFormat="1">
      <c r="A27" s="285" t="s">
        <v>759</v>
      </c>
      <c r="B27" s="285" t="s">
        <v>12</v>
      </c>
      <c r="E27" s="270">
        <f>Scenarios!D54</f>
        <v>3.4898385089254531E-2</v>
      </c>
      <c r="F27" s="270">
        <f>Scenarios!E54</f>
        <v>3.38838241442826E-2</v>
      </c>
      <c r="G27" s="270">
        <f>Scenarios!F54</f>
        <v>3.141715173168444E-2</v>
      </c>
      <c r="H27" s="270">
        <f>Scenarios!G54</f>
        <v>3.963869643187324E-2</v>
      </c>
      <c r="I27" s="270">
        <f>Scenarios!H54</f>
        <v>5.2571916600289981E-2</v>
      </c>
      <c r="J27" s="270">
        <f t="shared" si="4"/>
        <v>3.8481994799476962E-2</v>
      </c>
      <c r="L27" s="1"/>
    </row>
    <row r="28" spans="1:12" s="285" customFormat="1">
      <c r="A28" s="285" t="s">
        <v>760</v>
      </c>
      <c r="B28" s="285" t="s">
        <v>12</v>
      </c>
      <c r="E28" s="270">
        <f>Scenarios!D61</f>
        <v>1.7449192544627266E-2</v>
      </c>
      <c r="F28" s="270">
        <f>Scenarios!E61</f>
        <v>1.69419120721413E-2</v>
      </c>
      <c r="G28" s="270">
        <f>Scenarios!F61</f>
        <v>1.570857586584222E-2</v>
      </c>
      <c r="H28" s="270">
        <f>Scenarios!G61</f>
        <v>1.981934821593662E-2</v>
      </c>
      <c r="I28" s="270">
        <f>Scenarios!H61</f>
        <v>2.628595830014499E-2</v>
      </c>
      <c r="J28" s="270">
        <f t="shared" si="4"/>
        <v>1.9240997399738481E-2</v>
      </c>
      <c r="L28" s="1"/>
    </row>
    <row r="29" spans="1:12">
      <c r="E29" s="270"/>
      <c r="F29" s="270"/>
      <c r="G29" s="270"/>
      <c r="H29" s="270"/>
      <c r="I29" s="270"/>
      <c r="J29" s="270"/>
    </row>
    <row r="30" spans="1:12">
      <c r="A30" t="s">
        <v>516</v>
      </c>
      <c r="B30" s="285" t="s">
        <v>12</v>
      </c>
      <c r="C30" s="285"/>
      <c r="E30" s="270">
        <f>Scenarios!D70</f>
        <v>-2.5545988899027785E-2</v>
      </c>
      <c r="F30" s="270">
        <f>Scenarios!E70</f>
        <v>-2.4065491023016135E-2</v>
      </c>
      <c r="G30" s="270">
        <f>Scenarios!F70</f>
        <v>-2.4530491921765259E-2</v>
      </c>
      <c r="H30" s="270">
        <f>Scenarios!G70</f>
        <v>-3.0028562740783867E-2</v>
      </c>
      <c r="I30" s="270">
        <f>Scenarios!H70</f>
        <v>-4.3114465714115181E-2</v>
      </c>
      <c r="J30" s="270">
        <f t="shared" ref="J30:J46" si="5">AVERAGE(E30:I30)</f>
        <v>-2.9457000059741646E-2</v>
      </c>
    </row>
    <row r="31" spans="1:12">
      <c r="A31" t="s">
        <v>518</v>
      </c>
      <c r="B31" s="285" t="s">
        <v>12</v>
      </c>
      <c r="C31" s="285"/>
      <c r="E31" s="270">
        <f>Scenarios!D77</f>
        <v>-1.7030659266018523E-2</v>
      </c>
      <c r="F31" s="270">
        <f>Scenarios!E77</f>
        <v>-1.6043660682010758E-2</v>
      </c>
      <c r="G31" s="270">
        <f>Scenarios!F77</f>
        <v>-1.6353661281176841E-2</v>
      </c>
      <c r="H31" s="270">
        <f>Scenarios!G77</f>
        <v>-2.0019041827189245E-2</v>
      </c>
      <c r="I31" s="270">
        <f>Scenarios!H77</f>
        <v>-2.8742977142743448E-2</v>
      </c>
      <c r="J31" s="270">
        <f t="shared" si="5"/>
        <v>-1.9638000039827762E-2</v>
      </c>
    </row>
    <row r="32" spans="1:12">
      <c r="A32" s="285" t="s">
        <v>517</v>
      </c>
      <c r="B32" s="285" t="s">
        <v>12</v>
      </c>
      <c r="C32" s="285"/>
      <c r="E32" s="270">
        <f>Scenarios!D84</f>
        <v>4.2576648165046312E-2</v>
      </c>
      <c r="F32" s="270">
        <f>Scenarios!E84</f>
        <v>4.0109151705026894E-2</v>
      </c>
      <c r="G32" s="270">
        <f>Scenarios!F84</f>
        <v>4.0884153202942107E-2</v>
      </c>
      <c r="H32" s="270">
        <f>Scenarios!G84</f>
        <v>5.0047604567973115E-2</v>
      </c>
      <c r="I32" s="270">
        <f>Scenarios!H84</f>
        <v>7.1857442856858633E-2</v>
      </c>
      <c r="J32" s="270">
        <f t="shared" si="5"/>
        <v>4.9095000099569415E-2</v>
      </c>
    </row>
    <row r="33" spans="1:11">
      <c r="A33" t="s">
        <v>519</v>
      </c>
      <c r="B33" s="285" t="s">
        <v>12</v>
      </c>
      <c r="C33" s="285"/>
      <c r="E33" s="270">
        <f>Scenarios!D91</f>
        <v>1.7030659266018523E-2</v>
      </c>
      <c r="F33" s="270">
        <f>Scenarios!E91</f>
        <v>1.6043660682010758E-2</v>
      </c>
      <c r="G33" s="270">
        <f>Scenarios!F91</f>
        <v>1.6353661281176841E-2</v>
      </c>
      <c r="H33" s="270">
        <f>Scenarios!G91</f>
        <v>2.0019041827189245E-2</v>
      </c>
      <c r="I33" s="270">
        <f>Scenarios!H91</f>
        <v>2.8742977142743448E-2</v>
      </c>
      <c r="J33" s="270">
        <f t="shared" si="5"/>
        <v>1.9638000039827762E-2</v>
      </c>
    </row>
    <row r="34" spans="1:11">
      <c r="E34" s="270"/>
      <c r="F34" s="270"/>
      <c r="G34" s="270"/>
      <c r="H34" s="270"/>
      <c r="I34" s="270"/>
      <c r="J34" s="270"/>
    </row>
    <row r="35" spans="1:11">
      <c r="A35" t="s">
        <v>651</v>
      </c>
      <c r="B35" t="s">
        <v>12</v>
      </c>
      <c r="C35" s="285"/>
      <c r="E35" s="270">
        <f>Scenarios!D100</f>
        <v>-1.0800000000000002E-2</v>
      </c>
      <c r="F35" s="270">
        <f>Scenarios!E100</f>
        <v>-1.0800000000000002E-2</v>
      </c>
      <c r="G35" s="270">
        <f>Scenarios!F100</f>
        <v>-1.0800000000000001E-2</v>
      </c>
      <c r="H35" s="270">
        <f>Scenarios!G100</f>
        <v>-1.0800000000000002E-2</v>
      </c>
      <c r="I35" s="270">
        <f>Scenarios!H100</f>
        <v>-1.0800000000000001E-2</v>
      </c>
      <c r="J35" s="270">
        <f t="shared" si="5"/>
        <v>-1.0800000000000001E-2</v>
      </c>
    </row>
    <row r="36" spans="1:11">
      <c r="A36" t="s">
        <v>653</v>
      </c>
      <c r="B36" t="s">
        <v>12</v>
      </c>
      <c r="C36" s="285"/>
      <c r="E36" s="270">
        <f>Scenarios!D107</f>
        <v>-5.4000000000000012E-3</v>
      </c>
      <c r="F36" s="270">
        <f>Scenarios!E107</f>
        <v>-5.4000000000000012E-3</v>
      </c>
      <c r="G36" s="270">
        <f>Scenarios!F107</f>
        <v>-5.4000000000000003E-3</v>
      </c>
      <c r="H36" s="270">
        <f>Scenarios!G107</f>
        <v>-5.4000000000000012E-3</v>
      </c>
      <c r="I36" s="270">
        <f>Scenarios!H107</f>
        <v>-5.4000000000000003E-3</v>
      </c>
      <c r="J36" s="270">
        <f t="shared" si="5"/>
        <v>-5.4000000000000003E-3</v>
      </c>
    </row>
    <row r="37" spans="1:11">
      <c r="A37" t="s">
        <v>652</v>
      </c>
      <c r="B37" t="s">
        <v>12</v>
      </c>
      <c r="C37" s="285"/>
      <c r="E37" s="270">
        <f>Scenarios!D114</f>
        <v>1.0800000000000002E-2</v>
      </c>
      <c r="F37" s="270">
        <f>Scenarios!E114</f>
        <v>1.0800000000000002E-2</v>
      </c>
      <c r="G37" s="270">
        <f>Scenarios!F114</f>
        <v>1.0800000000000001E-2</v>
      </c>
      <c r="H37" s="270">
        <f>Scenarios!G114</f>
        <v>1.0800000000000002E-2</v>
      </c>
      <c r="I37" s="270">
        <f>Scenarios!H114</f>
        <v>1.0800000000000001E-2</v>
      </c>
      <c r="J37" s="270">
        <f t="shared" si="5"/>
        <v>1.0800000000000001E-2</v>
      </c>
    </row>
    <row r="38" spans="1:11">
      <c r="A38" t="s">
        <v>654</v>
      </c>
      <c r="B38" t="s">
        <v>12</v>
      </c>
      <c r="C38" s="285"/>
      <c r="E38" s="270">
        <f>Scenarios!D121</f>
        <v>5.4000000000000012E-3</v>
      </c>
      <c r="F38" s="270">
        <f>Scenarios!E121</f>
        <v>5.4000000000000012E-3</v>
      </c>
      <c r="G38" s="270">
        <f>Scenarios!F121</f>
        <v>5.4000000000000003E-3</v>
      </c>
      <c r="H38" s="270">
        <f>Scenarios!G121</f>
        <v>5.4000000000000012E-3</v>
      </c>
      <c r="I38" s="270">
        <f>Scenarios!H121</f>
        <v>5.4000000000000003E-3</v>
      </c>
      <c r="J38" s="270">
        <f t="shared" si="5"/>
        <v>5.4000000000000003E-3</v>
      </c>
    </row>
    <row r="39" spans="1:11">
      <c r="C39" s="3"/>
    </row>
    <row r="40" spans="1:11">
      <c r="A40" t="s">
        <v>316</v>
      </c>
      <c r="B40" t="s">
        <v>12</v>
      </c>
      <c r="C40" s="285"/>
      <c r="E40" s="224">
        <f>Scenarios!D135</f>
        <v>0</v>
      </c>
      <c r="F40" s="224">
        <f>Scenarios!E135</f>
        <v>0</v>
      </c>
      <c r="G40" s="224">
        <f>Scenarios!F135</f>
        <v>0</v>
      </c>
      <c r="H40" s="224">
        <f>Scenarios!G135</f>
        <v>0</v>
      </c>
      <c r="I40" s="224">
        <f>Scenarios!H135</f>
        <v>0</v>
      </c>
      <c r="J40" s="270">
        <f t="shared" si="5"/>
        <v>0</v>
      </c>
    </row>
    <row r="41" spans="1:11">
      <c r="A41" t="s">
        <v>317</v>
      </c>
      <c r="B41" t="s">
        <v>12</v>
      </c>
      <c r="C41" s="285"/>
      <c r="E41" s="224">
        <f>Scenarios!D147</f>
        <v>0</v>
      </c>
      <c r="F41" s="224">
        <f>Scenarios!E147</f>
        <v>0</v>
      </c>
      <c r="G41" s="224">
        <f>Scenarios!F147</f>
        <v>0</v>
      </c>
      <c r="H41" s="224">
        <f>Scenarios!G147</f>
        <v>0</v>
      </c>
      <c r="I41" s="224">
        <f>Scenarios!H147</f>
        <v>0</v>
      </c>
      <c r="J41" s="270">
        <f t="shared" si="5"/>
        <v>0</v>
      </c>
    </row>
    <row r="42" spans="1:11">
      <c r="A42" t="s">
        <v>318</v>
      </c>
      <c r="B42" t="s">
        <v>12</v>
      </c>
      <c r="C42" s="285"/>
      <c r="E42" s="224">
        <f>Scenarios!D159</f>
        <v>0</v>
      </c>
      <c r="F42" s="224">
        <f>Scenarios!E159</f>
        <v>0</v>
      </c>
      <c r="G42" s="224">
        <f>Scenarios!F159</f>
        <v>0</v>
      </c>
      <c r="H42" s="224">
        <f>Scenarios!G159</f>
        <v>0</v>
      </c>
      <c r="I42" s="224">
        <f>Scenarios!H159</f>
        <v>0</v>
      </c>
      <c r="J42" s="270">
        <f t="shared" si="5"/>
        <v>0</v>
      </c>
    </row>
    <row r="43" spans="1:11">
      <c r="A43" t="s">
        <v>319</v>
      </c>
      <c r="B43" t="s">
        <v>12</v>
      </c>
      <c r="C43" s="285"/>
      <c r="E43" s="224">
        <f>Scenarios!D171</f>
        <v>0</v>
      </c>
      <c r="F43" s="224">
        <f>Scenarios!E171</f>
        <v>0</v>
      </c>
      <c r="G43" s="224">
        <f>Scenarios!F171</f>
        <v>0</v>
      </c>
      <c r="H43" s="224">
        <f>Scenarios!G171</f>
        <v>0</v>
      </c>
      <c r="I43" s="224">
        <f>Scenarios!H171</f>
        <v>0</v>
      </c>
      <c r="J43" s="270">
        <f t="shared" si="5"/>
        <v>0</v>
      </c>
      <c r="K43" s="1"/>
    </row>
    <row r="44" spans="1:11">
      <c r="C44" s="3"/>
    </row>
    <row r="45" spans="1:11">
      <c r="A45" t="s">
        <v>779</v>
      </c>
      <c r="B45" t="s">
        <v>12</v>
      </c>
      <c r="C45" s="285"/>
      <c r="E45" s="224">
        <f>Scenarios!D181</f>
        <v>0</v>
      </c>
      <c r="F45" s="224">
        <f>Scenarios!E181</f>
        <v>0</v>
      </c>
      <c r="G45" s="224">
        <f>Scenarios!F181</f>
        <v>-1.0816829245127179E-2</v>
      </c>
      <c r="H45" s="224">
        <f>Scenarios!G181</f>
        <v>0</v>
      </c>
      <c r="I45" s="224">
        <f>Scenarios!H181</f>
        <v>0</v>
      </c>
      <c r="J45" s="270">
        <f t="shared" si="5"/>
        <v>-2.1633658490254359E-3</v>
      </c>
    </row>
    <row r="46" spans="1:11">
      <c r="A46" s="285" t="s">
        <v>655</v>
      </c>
      <c r="B46" s="285" t="s">
        <v>12</v>
      </c>
      <c r="C46" s="285"/>
      <c r="D46" s="285"/>
      <c r="E46" s="224">
        <f>Scenarios!D189</f>
        <v>0</v>
      </c>
      <c r="F46" s="224">
        <f>Scenarios!E189</f>
        <v>0</v>
      </c>
      <c r="G46" s="224">
        <f>Scenarios!F189</f>
        <v>-5.4084146225635895E-3</v>
      </c>
      <c r="H46" s="224">
        <f>Scenarios!G189</f>
        <v>0</v>
      </c>
      <c r="I46" s="224">
        <f>Scenarios!H189</f>
        <v>0</v>
      </c>
      <c r="J46" s="270">
        <f t="shared" si="5"/>
        <v>-1.0816829245127179E-3</v>
      </c>
    </row>
    <row r="47" spans="1:11">
      <c r="C47" s="3"/>
    </row>
    <row r="48" spans="1:11">
      <c r="A48" s="1" t="s">
        <v>349</v>
      </c>
      <c r="C48" s="3"/>
      <c r="E48" s="73"/>
      <c r="F48" s="73"/>
      <c r="G48" s="73"/>
      <c r="H48" s="73"/>
      <c r="I48" s="73"/>
    </row>
    <row r="49" spans="1:10">
      <c r="A49" t="s">
        <v>350</v>
      </c>
      <c r="B49" t="s">
        <v>12</v>
      </c>
      <c r="C49" s="285"/>
      <c r="E49" s="224">
        <f>E30+E35+E45</f>
        <v>-3.6345988899027785E-2</v>
      </c>
      <c r="F49" s="224">
        <f t="shared" ref="F49:I49" si="6">F30+F35+F45</f>
        <v>-3.4865491023016136E-2</v>
      </c>
      <c r="G49" s="224">
        <f t="shared" si="6"/>
        <v>-4.6147321166892435E-2</v>
      </c>
      <c r="H49" s="224">
        <f t="shared" si="6"/>
        <v>-4.0828562740783871E-2</v>
      </c>
      <c r="I49" s="224">
        <f t="shared" si="6"/>
        <v>-5.3914465714115178E-2</v>
      </c>
      <c r="J49" s="224">
        <f>J30+J35+J45</f>
        <v>-4.2420365908767077E-2</v>
      </c>
    </row>
    <row r="50" spans="1:10">
      <c r="A50" t="s">
        <v>351</v>
      </c>
      <c r="B50" t="s">
        <v>12</v>
      </c>
      <c r="C50" s="285"/>
      <c r="E50" s="224">
        <f t="shared" ref="E50:J50" si="7">E31+E36+E46</f>
        <v>-2.2430659266018525E-2</v>
      </c>
      <c r="F50" s="224">
        <f t="shared" si="7"/>
        <v>-2.144366068201076E-2</v>
      </c>
      <c r="G50" s="224">
        <f t="shared" si="7"/>
        <v>-2.7162075903740431E-2</v>
      </c>
      <c r="H50" s="224">
        <f t="shared" si="7"/>
        <v>-2.5419041827189248E-2</v>
      </c>
      <c r="I50" s="224">
        <f t="shared" si="7"/>
        <v>-3.4142977142743447E-2</v>
      </c>
      <c r="J50" s="224">
        <f t="shared" si="7"/>
        <v>-2.6119682964340481E-2</v>
      </c>
    </row>
    <row r="51" spans="1:10">
      <c r="A51" t="s">
        <v>352</v>
      </c>
      <c r="B51" t="s">
        <v>12</v>
      </c>
      <c r="C51" s="285"/>
      <c r="E51" s="224">
        <f>E32+E37</f>
        <v>5.3376648165046316E-2</v>
      </c>
      <c r="F51" s="224">
        <f t="shared" ref="F51:J51" si="8">F32+F37</f>
        <v>5.0909151705026898E-2</v>
      </c>
      <c r="G51" s="224">
        <f t="shared" si="8"/>
        <v>5.1684153202942104E-2</v>
      </c>
      <c r="H51" s="224">
        <f t="shared" si="8"/>
        <v>6.084760456797312E-2</v>
      </c>
      <c r="I51" s="224">
        <f t="shared" si="8"/>
        <v>8.2657442856858637E-2</v>
      </c>
      <c r="J51" s="224">
        <f t="shared" si="8"/>
        <v>5.9895000099569412E-2</v>
      </c>
    </row>
    <row r="52" spans="1:10">
      <c r="A52" t="s">
        <v>353</v>
      </c>
      <c r="B52" t="s">
        <v>12</v>
      </c>
      <c r="C52" s="285"/>
      <c r="E52" s="224">
        <f t="shared" ref="E52:J52" si="9">E33+E38</f>
        <v>2.2430659266018525E-2</v>
      </c>
      <c r="F52" s="224">
        <f t="shared" si="9"/>
        <v>2.144366068201076E-2</v>
      </c>
      <c r="G52" s="224">
        <f t="shared" si="9"/>
        <v>2.1753661281176839E-2</v>
      </c>
      <c r="H52" s="224">
        <f t="shared" si="9"/>
        <v>2.5419041827189248E-2</v>
      </c>
      <c r="I52" s="224">
        <f t="shared" si="9"/>
        <v>3.4142977142743447E-2</v>
      </c>
      <c r="J52" s="224">
        <f t="shared" si="9"/>
        <v>2.5038000039827764E-2</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A1"/>
  <sheetViews>
    <sheetView showGridLines="0" topLeftCell="D1" workbookViewId="0">
      <selection activeCell="S30" sqref="S30"/>
    </sheetView>
  </sheetViews>
  <sheetFormatPr defaultColWidth="8.6640625" defaultRowHeight="14.25"/>
  <cols>
    <col min="1" max="16384" width="8.6640625" style="285"/>
  </cols>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BCA8D0"/>
  </sheetPr>
  <dimension ref="A1:H23"/>
  <sheetViews>
    <sheetView showGridLines="0" zoomScale="90" zoomScaleNormal="90" workbookViewId="0"/>
  </sheetViews>
  <sheetFormatPr defaultColWidth="8.73046875" defaultRowHeight="14.25"/>
  <cols>
    <col min="1" max="1" width="42.1328125" customWidth="1"/>
    <col min="2" max="7" width="10.73046875" customWidth="1"/>
  </cols>
  <sheetData>
    <row r="1" spans="1:8" ht="18">
      <c r="A1" s="256" t="s">
        <v>780</v>
      </c>
    </row>
    <row r="2" spans="1:8">
      <c r="B2" s="227" t="s">
        <v>354</v>
      </c>
    </row>
    <row r="3" spans="1:8">
      <c r="A3" t="s">
        <v>670</v>
      </c>
      <c r="B3" s="73">
        <f>RoRE!J11</f>
        <v>4.6308966680606203E-2</v>
      </c>
    </row>
    <row r="4" spans="1:8">
      <c r="A4" t="s">
        <v>355</v>
      </c>
      <c r="B4" s="73">
        <f>RoRE!J32</f>
        <v>4.9095000099569415E-2</v>
      </c>
    </row>
    <row r="5" spans="1:8">
      <c r="A5" t="s">
        <v>357</v>
      </c>
      <c r="B5" s="73">
        <f>RoRE!E38</f>
        <v>5.4000000000000012E-3</v>
      </c>
    </row>
    <row r="6" spans="1:8">
      <c r="A6" t="s">
        <v>356</v>
      </c>
      <c r="B6" s="73">
        <f>RoRE!J30</f>
        <v>-2.9457000059741646E-2</v>
      </c>
    </row>
    <row r="7" spans="1:8">
      <c r="A7" t="s">
        <v>358</v>
      </c>
      <c r="B7" s="73">
        <f>RoRE!E36</f>
        <v>-5.4000000000000012E-3</v>
      </c>
    </row>
    <row r="8" spans="1:8">
      <c r="B8" s="285"/>
      <c r="C8" s="285"/>
    </row>
    <row r="9" spans="1:8" ht="42.75">
      <c r="B9" s="381" t="s">
        <v>363</v>
      </c>
      <c r="C9" s="381" t="s">
        <v>364</v>
      </c>
      <c r="D9" s="381" t="s">
        <v>367</v>
      </c>
      <c r="E9" s="381" t="s">
        <v>396</v>
      </c>
      <c r="F9" s="381" t="s">
        <v>397</v>
      </c>
    </row>
    <row r="10" spans="1:8" s="285" customFormat="1">
      <c r="A10" s="285" t="s">
        <v>838</v>
      </c>
      <c r="B10" s="269">
        <f>'RoRE inputs'!E18</f>
        <v>5.1045284888207969E-2</v>
      </c>
      <c r="C10" s="269">
        <f>'RoRE inputs'!F18</f>
        <v>4.5592820781085029E-2</v>
      </c>
      <c r="D10" s="269">
        <f>'RoRE inputs'!I18</f>
        <v>4.1491298939063108E-2</v>
      </c>
      <c r="E10" s="269">
        <f>'RoRE inputs'!S18</f>
        <v>4.7458275753595534E-2</v>
      </c>
      <c r="F10" s="269">
        <f>AVERAGE(B10:D10)</f>
        <v>4.6043134869452031E-2</v>
      </c>
      <c r="G10"/>
      <c r="H10"/>
    </row>
    <row r="11" spans="1:8">
      <c r="A11" s="285" t="s">
        <v>839</v>
      </c>
      <c r="B11" s="269">
        <f>'RoRE inputs'!E19</f>
        <v>-5.8188553106647029E-2</v>
      </c>
      <c r="C11" s="269">
        <f>'RoRE inputs'!F19</f>
        <v>-4.6386929211972683E-2</v>
      </c>
      <c r="D11" s="269">
        <f>'RoRE inputs'!I19</f>
        <v>-3.9946036151982403E-2</v>
      </c>
      <c r="E11" s="269">
        <f>'RoRE inputs'!S19</f>
        <v>-5.5897359838370499E-2</v>
      </c>
      <c r="F11" s="269">
        <f>AVERAGE(B11:D11)</f>
        <v>-4.8173839490200709E-2</v>
      </c>
    </row>
    <row r="12" spans="1:8">
      <c r="A12" t="s">
        <v>387</v>
      </c>
      <c r="B12" s="269">
        <f>'RoRE inputs'!E20</f>
        <v>3.9136370136326024E-2</v>
      </c>
      <c r="C12" s="269">
        <f>'RoRE inputs'!F20</f>
        <v>3.9014016727115283E-2</v>
      </c>
      <c r="D12" s="269">
        <f>'RoRE inputs'!I20</f>
        <v>3.8616331421237882E-2</v>
      </c>
      <c r="E12" s="269">
        <f>'RoRE inputs'!S20</f>
        <v>3.9726343748397439E-2</v>
      </c>
      <c r="F12" s="269">
        <f>AVERAGE(B12:D12)</f>
        <v>3.8922239428226396E-2</v>
      </c>
    </row>
    <row r="13" spans="1:8">
      <c r="A13" s="285" t="s">
        <v>840</v>
      </c>
      <c r="B13" s="269">
        <f>'RoRE inputs'!E21</f>
        <v>-4.6632276380639014E-2</v>
      </c>
      <c r="C13" s="269">
        <f>'RoRE inputs'!F21</f>
        <v>-3.4750561034139954E-2</v>
      </c>
      <c r="D13" s="269">
        <f>'RoRE inputs'!I21</f>
        <v>-2.8303015262114421E-2</v>
      </c>
      <c r="E13" s="269">
        <f>'RoRE inputs'!S21</f>
        <v>-4.3726134445913487E-2</v>
      </c>
      <c r="F13" s="269">
        <f>AVERAGE(B13:D13)</f>
        <v>-3.6561950892297801E-2</v>
      </c>
      <c r="G13" s="285"/>
      <c r="H13" s="285"/>
    </row>
    <row r="14" spans="1:8">
      <c r="A14" s="285" t="s">
        <v>841</v>
      </c>
      <c r="B14" s="269">
        <f>'RoRE inputs'!E22</f>
        <v>3.8707714274175506E-2</v>
      </c>
      <c r="C14" s="269">
        <f>'RoRE inputs'!F22</f>
        <v>3.3272162058440038E-2</v>
      </c>
      <c r="D14" s="269">
        <f>'RoRE inputs'!I22</f>
        <v>2.9145681961013394E-2</v>
      </c>
      <c r="E14" s="269">
        <f>'RoRE inputs'!S22</f>
        <v>3.5730943607199098E-2</v>
      </c>
      <c r="F14" s="269">
        <f t="shared" ref="F14:F16" si="0">AVERAGE(B14:D14)</f>
        <v>3.3708519431209644E-2</v>
      </c>
      <c r="G14" s="285"/>
      <c r="H14" s="285"/>
    </row>
    <row r="15" spans="1:8">
      <c r="A15" s="285" t="s">
        <v>842</v>
      </c>
      <c r="B15" s="269">
        <f>'RoRE inputs'!E23</f>
        <v>-1.1556276726008018E-2</v>
      </c>
      <c r="C15" s="269">
        <f>'RoRE inputs'!F23</f>
        <v>-1.1636368177832718E-2</v>
      </c>
      <c r="D15" s="269">
        <f>'RoRE inputs'!I23</f>
        <v>-1.1643020889867982E-2</v>
      </c>
      <c r="E15" s="269">
        <f>'RoRE inputs'!S23</f>
        <v>-1.2171225392457009E-2</v>
      </c>
      <c r="F15" s="269">
        <f t="shared" si="0"/>
        <v>-1.1611888597902907E-2</v>
      </c>
      <c r="G15" s="285"/>
      <c r="H15" s="285"/>
    </row>
    <row r="16" spans="1:8">
      <c r="A16" s="285" t="s">
        <v>843</v>
      </c>
      <c r="B16" s="269">
        <f>'RoRE inputs'!E24</f>
        <v>1.2337570614032463E-2</v>
      </c>
      <c r="C16" s="269">
        <f>'RoRE inputs'!F24</f>
        <v>1.2320658722644991E-2</v>
      </c>
      <c r="D16" s="269">
        <f>'RoRE inputs'!I24</f>
        <v>1.2345616978049714E-2</v>
      </c>
      <c r="E16" s="269">
        <f>'RoRE inputs'!S24</f>
        <v>1.172733214639644E-2</v>
      </c>
      <c r="F16" s="269">
        <f t="shared" si="0"/>
        <v>1.2334615438242389E-2</v>
      </c>
      <c r="G16" s="285"/>
      <c r="H16" s="285"/>
    </row>
    <row r="18" spans="1:7" ht="42.75">
      <c r="B18" s="381" t="s">
        <v>359</v>
      </c>
      <c r="C18" s="381" t="s">
        <v>396</v>
      </c>
      <c r="D18" s="381" t="s">
        <v>398</v>
      </c>
      <c r="E18" s="381" t="s">
        <v>389</v>
      </c>
      <c r="F18" s="381" t="s">
        <v>390</v>
      </c>
      <c r="G18" s="381" t="s">
        <v>391</v>
      </c>
    </row>
    <row r="19" spans="1:7">
      <c r="A19" t="s">
        <v>406</v>
      </c>
      <c r="B19" s="73">
        <f>B6</f>
        <v>-2.9457000059741646E-2</v>
      </c>
      <c r="C19" s="269">
        <f>E13</f>
        <v>-4.3726134445913487E-2</v>
      </c>
      <c r="D19" s="269">
        <f>F13</f>
        <v>-3.6561950892297801E-2</v>
      </c>
      <c r="E19" s="269">
        <f>B13</f>
        <v>-4.6632276380639014E-2</v>
      </c>
      <c r="F19" s="269">
        <f t="shared" ref="F19:G19" si="1">C13</f>
        <v>-3.4750561034139954E-2</v>
      </c>
      <c r="G19" s="269">
        <f t="shared" si="1"/>
        <v>-2.8303015262114421E-2</v>
      </c>
    </row>
    <row r="20" spans="1:7">
      <c r="A20" t="s">
        <v>383</v>
      </c>
      <c r="B20" s="73">
        <f>B7</f>
        <v>-5.4000000000000012E-3</v>
      </c>
      <c r="C20" s="269">
        <f>E15</f>
        <v>-1.2171225392457009E-2</v>
      </c>
      <c r="D20" s="269">
        <f>F15</f>
        <v>-1.1611888597902907E-2</v>
      </c>
      <c r="E20" s="269">
        <f>B15</f>
        <v>-1.1556276726008018E-2</v>
      </c>
      <c r="F20" s="269">
        <f t="shared" ref="F20:G20" si="2">C15</f>
        <v>-1.1636368177832718E-2</v>
      </c>
      <c r="G20" s="269">
        <f t="shared" si="2"/>
        <v>-1.1643020889867982E-2</v>
      </c>
    </row>
    <row r="21" spans="1:7">
      <c r="A21" s="285" t="s">
        <v>406</v>
      </c>
      <c r="B21" s="73">
        <f>B4</f>
        <v>4.9095000099569415E-2</v>
      </c>
      <c r="C21" s="269">
        <f>E14</f>
        <v>3.5730943607199098E-2</v>
      </c>
      <c r="D21" s="269">
        <f>F14</f>
        <v>3.3708519431209644E-2</v>
      </c>
      <c r="E21" s="269">
        <f>B14</f>
        <v>3.8707714274175506E-2</v>
      </c>
      <c r="F21" s="269">
        <f t="shared" ref="F21:G21" si="3">C14</f>
        <v>3.3272162058440038E-2</v>
      </c>
      <c r="G21" s="269">
        <f t="shared" si="3"/>
        <v>2.9145681961013394E-2</v>
      </c>
    </row>
    <row r="22" spans="1:7">
      <c r="A22" s="285" t="s">
        <v>383</v>
      </c>
      <c r="B22" s="73">
        <f>B5</f>
        <v>5.4000000000000012E-3</v>
      </c>
      <c r="C22" s="269">
        <f>E16</f>
        <v>1.172733214639644E-2</v>
      </c>
      <c r="D22" s="269">
        <f>F16</f>
        <v>1.2334615438242389E-2</v>
      </c>
      <c r="E22" s="269">
        <f>B16</f>
        <v>1.2337570614032463E-2</v>
      </c>
      <c r="F22" s="269">
        <f t="shared" ref="F22:G22" si="4">C16</f>
        <v>1.2320658722644991E-2</v>
      </c>
      <c r="G22" s="269">
        <f t="shared" si="4"/>
        <v>1.2345616978049714E-2</v>
      </c>
    </row>
    <row r="23" spans="1:7" s="285" customFormat="1">
      <c r="B23" s="73"/>
      <c r="C23" s="269"/>
      <c r="D23" s="269"/>
      <c r="E23" s="269"/>
      <c r="F23" s="269"/>
      <c r="G23" s="269"/>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BCA8D0"/>
  </sheetPr>
  <dimension ref="A1:T40"/>
  <sheetViews>
    <sheetView showGridLines="0" zoomScale="90" zoomScaleNormal="90" workbookViewId="0"/>
  </sheetViews>
  <sheetFormatPr defaultColWidth="8.6640625" defaultRowHeight="14.25"/>
  <cols>
    <col min="1" max="1" width="43.6640625" customWidth="1"/>
    <col min="2" max="2" width="15" customWidth="1"/>
    <col min="3" max="3" width="14" customWidth="1"/>
    <col min="4" max="11" width="10" customWidth="1"/>
    <col min="12" max="12" width="11.6640625" customWidth="1"/>
    <col min="13" max="13" width="10" customWidth="1"/>
  </cols>
  <sheetData>
    <row r="1" spans="1:20" ht="18">
      <c r="A1" s="256" t="s">
        <v>783</v>
      </c>
      <c r="B1" s="256"/>
      <c r="C1" s="285"/>
    </row>
    <row r="4" spans="1:20">
      <c r="A4" s="65" t="s">
        <v>399</v>
      </c>
      <c r="B4" s="1" t="s">
        <v>10</v>
      </c>
      <c r="C4" s="1" t="s">
        <v>11</v>
      </c>
      <c r="D4" s="236" t="s">
        <v>35</v>
      </c>
      <c r="E4" s="236" t="s">
        <v>36</v>
      </c>
      <c r="F4" s="236" t="s">
        <v>37</v>
      </c>
      <c r="G4" s="236" t="s">
        <v>15</v>
      </c>
      <c r="H4" s="236" t="s">
        <v>16</v>
      </c>
      <c r="I4" s="236" t="s">
        <v>0</v>
      </c>
      <c r="J4" s="236" t="s">
        <v>1</v>
      </c>
      <c r="K4" s="236" t="s">
        <v>2</v>
      </c>
      <c r="L4" s="236" t="s">
        <v>3</v>
      </c>
      <c r="M4" s="236" t="s">
        <v>4</v>
      </c>
      <c r="N4" s="236" t="s">
        <v>5</v>
      </c>
      <c r="O4" s="236" t="s">
        <v>6</v>
      </c>
      <c r="P4" s="236" t="s">
        <v>7</v>
      </c>
      <c r="Q4" s="236" t="s">
        <v>8</v>
      </c>
      <c r="R4" s="236" t="s">
        <v>9</v>
      </c>
    </row>
    <row r="5" spans="1:20">
      <c r="A5" s="232" t="s">
        <v>322</v>
      </c>
      <c r="B5" s="63" t="s">
        <v>40</v>
      </c>
      <c r="C5" t="s">
        <v>52</v>
      </c>
      <c r="D5" s="255">
        <f>'RAB summary'!D41</f>
        <v>18916.576112074305</v>
      </c>
      <c r="E5" s="255">
        <f>'RAB summary'!E41</f>
        <v>18542.521837587261</v>
      </c>
      <c r="F5" s="255">
        <f>'RAB summary'!F41</f>
        <v>18162.309628286301</v>
      </c>
      <c r="G5" s="255">
        <f>'RAB summary'!G41</f>
        <v>15004.777886690661</v>
      </c>
      <c r="H5" s="255">
        <f>'RAB summary'!H41</f>
        <v>12700.561103870159</v>
      </c>
      <c r="I5" s="255">
        <f>'RAB summary'!I41</f>
        <v>10622.382932505057</v>
      </c>
      <c r="J5" s="255">
        <f>'RAB summary'!J41</f>
        <v>10311.712585715028</v>
      </c>
      <c r="K5" s="255">
        <f>'RAB summary'!K41</f>
        <v>12412.799335993441</v>
      </c>
      <c r="L5" s="255">
        <f>'RAB summary'!L41</f>
        <v>15776.421055858049</v>
      </c>
      <c r="M5" s="255">
        <f>'RAB summary'!M41</f>
        <v>15726.694188361456</v>
      </c>
      <c r="N5" s="255">
        <f>'RAB summary'!N41</f>
        <v>38334.363864887571</v>
      </c>
      <c r="O5" s="255">
        <f>'RAB summary'!O41</f>
        <v>41753.129455951872</v>
      </c>
      <c r="P5" s="255">
        <f>'RAB summary'!P41</f>
        <v>43240.100343584883</v>
      </c>
      <c r="Q5" s="255">
        <f>'RAB summary'!Q41</f>
        <v>40096.425800135301</v>
      </c>
      <c r="R5" s="255">
        <f>'RAB summary'!R41</f>
        <v>27886.156545405884</v>
      </c>
    </row>
    <row r="6" spans="1:20">
      <c r="A6" s="232" t="s">
        <v>59</v>
      </c>
      <c r="B6" s="63" t="s">
        <v>40</v>
      </c>
      <c r="C6" t="s">
        <v>52</v>
      </c>
      <c r="D6" s="255">
        <f>'RAB summary'!D42</f>
        <v>2261.9389587073606</v>
      </c>
      <c r="E6" s="255">
        <f>'RAB summary'!E42</f>
        <v>2674.2482046678633</v>
      </c>
      <c r="F6" s="255">
        <f>'RAB summary'!F42</f>
        <v>274.36041292639135</v>
      </c>
      <c r="G6" s="255">
        <f>'RAB summary'!G42</f>
        <v>1589.5175044883301</v>
      </c>
      <c r="H6" s="255">
        <f>'RAB summary'!H42</f>
        <v>1953.3113556688472</v>
      </c>
      <c r="I6" s="255">
        <f>'RAB summary'!I42</f>
        <v>3044.212083594326</v>
      </c>
      <c r="J6" s="255">
        <f>'RAB summary'!J42</f>
        <v>3734.0668291301954</v>
      </c>
      <c r="K6" s="255">
        <f>'RAB summary'!K42</f>
        <v>2615.0389027522874</v>
      </c>
      <c r="L6" s="255">
        <f>'RAB summary'!L42</f>
        <v>2674.1557514388314</v>
      </c>
      <c r="M6" s="255">
        <f>'RAB summary'!M42</f>
        <v>31337.297637223004</v>
      </c>
      <c r="N6" s="255">
        <f>'RAB summary'!N42</f>
        <v>10470.887626060397</v>
      </c>
      <c r="O6" s="255">
        <f>'RAB summary'!O42</f>
        <v>9549.0352118535302</v>
      </c>
      <c r="P6" s="255">
        <f>'RAB summary'!P42</f>
        <v>6563.3182924714229</v>
      </c>
      <c r="Q6" s="255">
        <f>'RAB summary'!Q42</f>
        <v>5840.1715875037407</v>
      </c>
      <c r="R6" s="255">
        <f>'RAB summary'!R42</f>
        <v>5061.0228807887461</v>
      </c>
    </row>
    <row r="7" spans="1:20">
      <c r="A7" s="232" t="s">
        <v>60</v>
      </c>
      <c r="B7" s="63" t="s">
        <v>40</v>
      </c>
      <c r="C7" t="s">
        <v>52</v>
      </c>
      <c r="D7" s="255">
        <f>'RAB summary'!D43</f>
        <v>3255.3516945736069</v>
      </c>
      <c r="E7" s="255">
        <f>'RAB summary'!E43</f>
        <v>3564.0242111552134</v>
      </c>
      <c r="F7" s="255">
        <f>'RAB summary'!F43</f>
        <v>3795.7154744183249</v>
      </c>
      <c r="G7" s="255">
        <f>'RAB summary'!G43</f>
        <v>4006.9563436611643</v>
      </c>
      <c r="H7" s="255">
        <f>'RAB summary'!H43</f>
        <v>4169.6536508691333</v>
      </c>
      <c r="I7" s="255">
        <f>'RAB summary'!I43</f>
        <v>3705.4654155601806</v>
      </c>
      <c r="J7" s="255">
        <f>'RAB summary'!J43</f>
        <v>2036.8287522788137</v>
      </c>
      <c r="K7" s="255">
        <f>'RAB summary'!K43</f>
        <v>1576.2795824110883</v>
      </c>
      <c r="L7" s="255">
        <f>'RAB summary'!L43</f>
        <v>2960.3742608656726</v>
      </c>
      <c r="M7" s="255">
        <f>'RAB summary'!M43</f>
        <v>8330.7582136723704</v>
      </c>
      <c r="N7" s="255">
        <f>'RAB summary'!N43</f>
        <v>6924.481565615979</v>
      </c>
      <c r="O7" s="255">
        <f>'RAB summary'!O43</f>
        <v>7867.2715425797614</v>
      </c>
      <c r="P7" s="255">
        <f>'RAB summary'!P43</f>
        <v>8659.4586076098112</v>
      </c>
      <c r="Q7" s="255">
        <f>'RAB summary'!Q43</f>
        <v>9189.351550589874</v>
      </c>
      <c r="R7" s="255">
        <f>'RAB summary'!R43</f>
        <v>3821.3844620651453</v>
      </c>
    </row>
    <row r="8" spans="1:20">
      <c r="A8" s="232" t="s">
        <v>327</v>
      </c>
      <c r="B8" s="63" t="s">
        <v>40</v>
      </c>
      <c r="C8" t="s">
        <v>52</v>
      </c>
      <c r="D8" s="255">
        <f>'RAB summary'!D44</f>
        <v>0</v>
      </c>
      <c r="E8" s="255">
        <f>'RAB summary'!E44</f>
        <v>0</v>
      </c>
      <c r="F8" s="255">
        <f>'RAB summary'!F44</f>
        <v>0</v>
      </c>
      <c r="G8" s="255">
        <f>'RAB summary'!G44</f>
        <v>0</v>
      </c>
      <c r="H8" s="255">
        <f>'RAB summary'!H44</f>
        <v>0</v>
      </c>
      <c r="I8" s="255">
        <f>'RAB summary'!I44</f>
        <v>0</v>
      </c>
      <c r="J8" s="255">
        <f>'RAB summary'!J44</f>
        <v>0</v>
      </c>
      <c r="K8" s="255">
        <f>'RAB summary'!K44</f>
        <v>0</v>
      </c>
      <c r="L8" s="255">
        <f>'RAB summary'!L44</f>
        <v>0</v>
      </c>
      <c r="M8" s="255">
        <f>'RAB summary'!M44</f>
        <v>828.76868702290096</v>
      </c>
      <c r="N8" s="255">
        <f>'RAB summary'!N44</f>
        <v>946.32928224192153</v>
      </c>
      <c r="O8" s="255">
        <f>'RAB summary'!O44</f>
        <v>1042.6378864169287</v>
      </c>
      <c r="P8" s="255">
        <f>'RAB summary'!P44</f>
        <v>1833.7386557648272</v>
      </c>
      <c r="Q8" s="255">
        <f>'RAB summary'!Q44</f>
        <v>9407.876674886551</v>
      </c>
      <c r="R8" s="255">
        <f>'RAB summary'!R44</f>
        <v>10043.956743522549</v>
      </c>
    </row>
    <row r="9" spans="1:20">
      <c r="A9" s="232" t="s">
        <v>245</v>
      </c>
      <c r="B9" s="63" t="s">
        <v>40</v>
      </c>
      <c r="C9" t="s">
        <v>52</v>
      </c>
      <c r="D9" s="255">
        <f>'RAB summary'!D45</f>
        <v>0</v>
      </c>
      <c r="E9" s="255">
        <f>'RAB summary'!E45</f>
        <v>0</v>
      </c>
      <c r="F9" s="255">
        <f>'RAB summary'!F45</f>
        <v>0</v>
      </c>
      <c r="G9" s="255">
        <f>'RAB summary'!G45</f>
        <v>0</v>
      </c>
      <c r="H9" s="255">
        <f>'RAB summary'!H45</f>
        <v>0</v>
      </c>
      <c r="I9" s="255">
        <f>'RAB summary'!I45</f>
        <v>0</v>
      </c>
      <c r="J9" s="255">
        <f>'RAB summary'!J45</f>
        <v>0</v>
      </c>
      <c r="K9" s="255">
        <f>'RAB summary'!K45</f>
        <v>0</v>
      </c>
      <c r="L9" s="255">
        <f>'RAB summary'!L45</f>
        <v>0</v>
      </c>
      <c r="M9" s="255">
        <f>'RAB summary'!M45</f>
        <v>321.75525343079295</v>
      </c>
      <c r="N9" s="255">
        <f>'RAB summary'!N45</f>
        <v>0</v>
      </c>
      <c r="O9" s="255">
        <f>'RAB summary'!O45</f>
        <v>0</v>
      </c>
      <c r="P9" s="255">
        <f>'RAB summary'!P45</f>
        <v>0</v>
      </c>
      <c r="Q9" s="255">
        <f>'RAB summary'!Q45</f>
        <v>0</v>
      </c>
      <c r="R9" s="255">
        <f>'RAB summary'!R45</f>
        <v>0</v>
      </c>
    </row>
    <row r="10" spans="1:20">
      <c r="A10" s="232" t="s">
        <v>323</v>
      </c>
      <c r="B10" s="63" t="s">
        <v>40</v>
      </c>
      <c r="C10" t="s">
        <v>52</v>
      </c>
      <c r="D10" s="255">
        <f>'RAB summary'!D46</f>
        <v>17923.163376208056</v>
      </c>
      <c r="E10" s="255">
        <f>'RAB summary'!E46</f>
        <v>17652.745831099914</v>
      </c>
      <c r="F10" s="255">
        <f>'RAB summary'!F46</f>
        <v>14640.954566794369</v>
      </c>
      <c r="G10" s="255">
        <f>'RAB summary'!G46</f>
        <v>12587.339047517828</v>
      </c>
      <c r="H10" s="255">
        <f>'RAB summary'!H46</f>
        <v>10484.218808669873</v>
      </c>
      <c r="I10" s="255">
        <f>'RAB summary'!I46</f>
        <v>9961.1296005392014</v>
      </c>
      <c r="J10" s="255">
        <f>'RAB summary'!J46</f>
        <v>12008.950662566411</v>
      </c>
      <c r="K10" s="255">
        <f>'RAB summary'!K46</f>
        <v>13451.558656334641</v>
      </c>
      <c r="L10" s="255">
        <f>'RAB summary'!L46</f>
        <v>15490.202546431206</v>
      </c>
      <c r="M10" s="255">
        <f>'RAB summary'!M46</f>
        <v>37582.709671458397</v>
      </c>
      <c r="N10" s="255">
        <f>'RAB summary'!N46</f>
        <v>40934.440643090071</v>
      </c>
      <c r="O10" s="255">
        <f>'RAB summary'!O46</f>
        <v>42392.255238808713</v>
      </c>
      <c r="P10" s="255">
        <f>'RAB summary'!P46</f>
        <v>39310.22137268167</v>
      </c>
      <c r="Q10" s="255">
        <f>'RAB summary'!Q46</f>
        <v>27339.369162162624</v>
      </c>
      <c r="R10" s="255">
        <f>'RAB summary'!R46</f>
        <v>19081.838220606933</v>
      </c>
    </row>
    <row r="11" spans="1:20">
      <c r="A11" s="232" t="s">
        <v>236</v>
      </c>
      <c r="B11" s="63" t="s">
        <v>40</v>
      </c>
      <c r="C11" t="s">
        <v>52</v>
      </c>
      <c r="D11" s="255">
        <f>'RAB summary'!D47</f>
        <v>18419.869744141179</v>
      </c>
      <c r="E11" s="255">
        <f>'RAB summary'!E47</f>
        <v>18097.633834343585</v>
      </c>
      <c r="F11" s="255">
        <f>'RAB summary'!F47</f>
        <v>16401.632097540336</v>
      </c>
      <c r="G11" s="255">
        <f>'RAB summary'!G47</f>
        <v>13796.058467104245</v>
      </c>
      <c r="H11" s="255">
        <f>'RAB summary'!H47</f>
        <v>11592.389956270015</v>
      </c>
      <c r="I11" s="255">
        <f>'RAB summary'!I47</f>
        <v>10291.75626652213</v>
      </c>
      <c r="J11" s="255">
        <f>'RAB summary'!J47</f>
        <v>11160.331624140716</v>
      </c>
      <c r="K11" s="255">
        <f>'RAB summary'!K47</f>
        <v>12932.178996164039</v>
      </c>
      <c r="L11" s="255">
        <f>'RAB summary'!L47</f>
        <v>15633.311801144628</v>
      </c>
      <c r="M11" s="255">
        <f>'RAB summary'!M47</f>
        <v>26654.701929909923</v>
      </c>
      <c r="N11" s="255">
        <f>'RAB summary'!N47</f>
        <v>39634.402253988817</v>
      </c>
      <c r="O11" s="255">
        <f>'RAB summary'!O47</f>
        <v>42072.692347380289</v>
      </c>
      <c r="P11" s="255">
        <f>'RAB summary'!P47</f>
        <v>41275.160858133269</v>
      </c>
      <c r="Q11" s="255">
        <f>'RAB summary'!Q47</f>
        <v>33717.897481148968</v>
      </c>
      <c r="R11" s="255">
        <f>'RAB summary'!R47</f>
        <v>23483.997383006408</v>
      </c>
    </row>
    <row r="12" spans="1:20">
      <c r="D12" s="255"/>
      <c r="E12" s="255"/>
      <c r="F12" s="255"/>
      <c r="G12" s="255"/>
      <c r="H12" s="255"/>
      <c r="I12" s="255"/>
      <c r="J12" s="255"/>
      <c r="K12" s="255"/>
      <c r="L12" s="255"/>
      <c r="M12" s="255"/>
      <c r="N12" s="255"/>
      <c r="O12" s="255"/>
      <c r="P12" s="255"/>
      <c r="Q12" s="255"/>
      <c r="R12" s="255"/>
    </row>
    <row r="13" spans="1:20" ht="18">
      <c r="A13" s="256" t="s">
        <v>784</v>
      </c>
      <c r="M13" s="286"/>
      <c r="N13" s="286"/>
      <c r="O13" s="286"/>
      <c r="P13" s="286"/>
      <c r="Q13" s="286"/>
      <c r="R13" s="286"/>
      <c r="S13" s="286"/>
      <c r="T13" s="286"/>
    </row>
    <row r="14" spans="1:20">
      <c r="A14" s="65"/>
      <c r="B14" s="236" t="s">
        <v>0</v>
      </c>
      <c r="C14" s="236" t="s">
        <v>1</v>
      </c>
      <c r="D14" s="236" t="s">
        <v>2</v>
      </c>
      <c r="E14" s="236" t="s">
        <v>3</v>
      </c>
      <c r="F14" s="236" t="s">
        <v>4</v>
      </c>
      <c r="G14" s="236" t="s">
        <v>5</v>
      </c>
      <c r="H14" s="236" t="s">
        <v>6</v>
      </c>
      <c r="I14" s="236" t="s">
        <v>7</v>
      </c>
      <c r="J14" s="236" t="s">
        <v>8</v>
      </c>
      <c r="K14" s="236" t="s">
        <v>9</v>
      </c>
      <c r="L14" s="286"/>
      <c r="M14" s="286"/>
      <c r="N14" s="286"/>
      <c r="O14" s="286"/>
      <c r="P14" s="286"/>
      <c r="Q14" s="286"/>
      <c r="R14" s="286"/>
      <c r="S14" s="286"/>
      <c r="T14" s="286"/>
    </row>
    <row r="15" spans="1:20">
      <c r="A15" s="286" t="s">
        <v>401</v>
      </c>
      <c r="B15" s="234">
        <f t="shared" ref="B15:K15" si="0">I10</f>
        <v>9961.1296005392014</v>
      </c>
      <c r="C15" s="234">
        <f t="shared" si="0"/>
        <v>12008.950662566411</v>
      </c>
      <c r="D15" s="234">
        <f t="shared" si="0"/>
        <v>13451.558656334641</v>
      </c>
      <c r="E15" s="234">
        <f t="shared" si="0"/>
        <v>15490.202546431206</v>
      </c>
      <c r="F15" s="234">
        <f t="shared" si="0"/>
        <v>37582.709671458397</v>
      </c>
      <c r="G15" s="234">
        <f t="shared" si="0"/>
        <v>40934.440643090071</v>
      </c>
      <c r="H15" s="234">
        <f t="shared" si="0"/>
        <v>42392.255238808713</v>
      </c>
      <c r="I15" s="234">
        <f t="shared" si="0"/>
        <v>39310.22137268167</v>
      </c>
      <c r="J15" s="234">
        <f t="shared" si="0"/>
        <v>27339.369162162624</v>
      </c>
      <c r="K15" s="234">
        <f t="shared" si="0"/>
        <v>19081.838220606933</v>
      </c>
      <c r="L15" s="286"/>
      <c r="M15" s="286"/>
      <c r="N15" s="286"/>
      <c r="O15" s="286"/>
      <c r="P15" s="286"/>
      <c r="Q15" s="286"/>
      <c r="R15" s="286"/>
      <c r="S15" s="286"/>
      <c r="T15" s="286"/>
    </row>
    <row r="16" spans="1:20">
      <c r="A16" s="286" t="s">
        <v>781</v>
      </c>
      <c r="B16" s="249"/>
      <c r="C16" s="249"/>
      <c r="D16" s="249"/>
      <c r="E16" s="249"/>
      <c r="F16" s="249">
        <f>F15*0.55</f>
        <v>20670.49031930212</v>
      </c>
      <c r="G16" s="249">
        <f>G15*0.4</f>
        <v>16373.77625723603</v>
      </c>
      <c r="H16" s="249">
        <f t="shared" ref="H16:K16" si="1">H15*0.4</f>
        <v>16956.902095523485</v>
      </c>
      <c r="I16" s="249">
        <f t="shared" si="1"/>
        <v>15724.088549072669</v>
      </c>
      <c r="J16" s="249">
        <f t="shared" si="1"/>
        <v>10935.74766486505</v>
      </c>
      <c r="K16" s="249">
        <f t="shared" si="1"/>
        <v>7632.7352882427731</v>
      </c>
      <c r="L16" s="286"/>
      <c r="M16" s="286"/>
      <c r="N16" s="286"/>
      <c r="O16" s="286"/>
      <c r="P16" s="286"/>
      <c r="Q16" s="286"/>
      <c r="R16" s="286"/>
      <c r="S16" s="286"/>
      <c r="T16" s="286"/>
    </row>
    <row r="17" spans="1:20">
      <c r="A17" s="286" t="s">
        <v>402</v>
      </c>
      <c r="B17" s="249">
        <f t="shared" ref="B17:K17" si="2">B15*0.55</f>
        <v>5478.6212802965611</v>
      </c>
      <c r="C17" s="249">
        <f t="shared" si="2"/>
        <v>6604.9228644115265</v>
      </c>
      <c r="D17" s="249">
        <f t="shared" si="2"/>
        <v>7398.357260984053</v>
      </c>
      <c r="E17" s="249">
        <f t="shared" si="2"/>
        <v>8519.6114005371637</v>
      </c>
      <c r="F17" s="249">
        <f t="shared" si="2"/>
        <v>20670.49031930212</v>
      </c>
      <c r="G17" s="249">
        <f t="shared" si="2"/>
        <v>22513.942353699542</v>
      </c>
      <c r="H17" s="249">
        <f t="shared" si="2"/>
        <v>23315.740381344793</v>
      </c>
      <c r="I17" s="249">
        <f t="shared" si="2"/>
        <v>21620.62175497492</v>
      </c>
      <c r="J17" s="249">
        <f t="shared" si="2"/>
        <v>15036.653039189445</v>
      </c>
      <c r="K17" s="249">
        <f t="shared" si="2"/>
        <v>10495.011021333814</v>
      </c>
      <c r="L17" s="286"/>
      <c r="M17" s="286"/>
      <c r="N17" s="286"/>
      <c r="O17" s="286"/>
      <c r="P17" s="286"/>
      <c r="Q17" s="286"/>
      <c r="R17" s="286"/>
      <c r="S17" s="286"/>
      <c r="T17" s="286"/>
    </row>
    <row r="18" spans="1:20">
      <c r="A18" s="286"/>
      <c r="B18" s="286"/>
      <c r="C18" s="286"/>
      <c r="D18" s="286"/>
      <c r="E18" s="286"/>
      <c r="F18" s="286"/>
      <c r="G18" s="286"/>
      <c r="H18" s="286"/>
      <c r="I18" s="286"/>
      <c r="J18" s="286"/>
      <c r="K18" s="286"/>
      <c r="L18" s="286"/>
      <c r="M18" s="286"/>
      <c r="N18" s="286"/>
      <c r="O18" s="286"/>
      <c r="P18" s="286"/>
      <c r="Q18" s="286"/>
      <c r="R18" s="286"/>
      <c r="S18" s="286"/>
      <c r="T18" s="286"/>
    </row>
    <row r="19" spans="1:20">
      <c r="A19" s="286"/>
      <c r="B19" s="236" t="s">
        <v>0</v>
      </c>
      <c r="C19" s="236" t="s">
        <v>1</v>
      </c>
      <c r="D19" s="236" t="s">
        <v>2</v>
      </c>
      <c r="E19" s="236" t="s">
        <v>3</v>
      </c>
      <c r="F19" s="236" t="s">
        <v>4</v>
      </c>
      <c r="G19" s="236" t="s">
        <v>5</v>
      </c>
      <c r="H19" s="236" t="s">
        <v>6</v>
      </c>
      <c r="I19" s="236" t="s">
        <v>7</v>
      </c>
      <c r="J19" s="236" t="s">
        <v>8</v>
      </c>
      <c r="K19" s="236" t="s">
        <v>9</v>
      </c>
      <c r="L19" s="286"/>
      <c r="M19" s="286"/>
      <c r="N19" s="286"/>
      <c r="O19" s="286"/>
      <c r="P19" s="286"/>
      <c r="Q19" s="286"/>
      <c r="R19" s="286"/>
      <c r="S19" s="286"/>
      <c r="T19" s="286"/>
    </row>
    <row r="20" spans="1:20" s="285" customFormat="1">
      <c r="A20" s="286" t="s">
        <v>442</v>
      </c>
      <c r="B20" s="234">
        <f>B15*(1-0.55)</f>
        <v>4482.5083202426404</v>
      </c>
      <c r="C20" s="234">
        <f t="shared" ref="C20:K20" si="3">C15*(1-0.55)</f>
        <v>5404.0277981548843</v>
      </c>
      <c r="D20" s="234">
        <f t="shared" si="3"/>
        <v>6053.2013953505875</v>
      </c>
      <c r="E20" s="234">
        <f t="shared" si="3"/>
        <v>6970.5911458940418</v>
      </c>
      <c r="F20" s="234">
        <f t="shared" si="3"/>
        <v>16912.219352156277</v>
      </c>
      <c r="G20" s="234">
        <f t="shared" si="3"/>
        <v>18420.498289390529</v>
      </c>
      <c r="H20" s="234">
        <f t="shared" si="3"/>
        <v>19076.514857463921</v>
      </c>
      <c r="I20" s="234">
        <f t="shared" si="3"/>
        <v>17689.59961770675</v>
      </c>
      <c r="J20" s="234">
        <f t="shared" si="3"/>
        <v>12302.716122973179</v>
      </c>
      <c r="K20" s="234">
        <f t="shared" si="3"/>
        <v>8586.8271992731188</v>
      </c>
      <c r="L20" s="286"/>
      <c r="M20" s="286"/>
      <c r="N20" s="286"/>
      <c r="O20" s="286"/>
      <c r="P20" s="286"/>
      <c r="Q20" s="286"/>
      <c r="R20" s="286"/>
      <c r="S20" s="286"/>
      <c r="T20" s="286"/>
    </row>
    <row r="21" spans="1:20" s="285" customFormat="1">
      <c r="A21" s="286" t="s">
        <v>443</v>
      </c>
      <c r="B21" s="234">
        <v>10000</v>
      </c>
      <c r="C21" s="234">
        <v>10000</v>
      </c>
      <c r="D21" s="234">
        <v>10000</v>
      </c>
      <c r="E21" s="234">
        <v>10000</v>
      </c>
      <c r="F21" s="234">
        <v>10000</v>
      </c>
      <c r="G21" s="234">
        <v>10000</v>
      </c>
      <c r="H21" s="234">
        <v>10000</v>
      </c>
      <c r="I21" s="234">
        <v>10000</v>
      </c>
      <c r="J21" s="234">
        <v>10000</v>
      </c>
      <c r="K21" s="234">
        <v>10000</v>
      </c>
      <c r="L21" s="286"/>
      <c r="M21" s="286"/>
      <c r="N21" s="286"/>
      <c r="O21" s="286"/>
      <c r="P21" s="286"/>
      <c r="Q21" s="286"/>
      <c r="R21" s="286"/>
      <c r="S21" s="286"/>
      <c r="T21" s="286"/>
    </row>
    <row r="22" spans="1:20" s="285" customFormat="1">
      <c r="A22" s="286"/>
      <c r="B22" s="236" t="s">
        <v>0</v>
      </c>
      <c r="C22" s="236" t="s">
        <v>1</v>
      </c>
      <c r="D22" s="236" t="s">
        <v>2</v>
      </c>
      <c r="E22" s="236" t="s">
        <v>3</v>
      </c>
      <c r="F22" s="236" t="s">
        <v>4</v>
      </c>
      <c r="G22" s="236" t="s">
        <v>5</v>
      </c>
      <c r="H22" s="236" t="s">
        <v>6</v>
      </c>
      <c r="I22" s="236" t="s">
        <v>7</v>
      </c>
      <c r="J22" s="236" t="s">
        <v>8</v>
      </c>
      <c r="K22" s="236" t="s">
        <v>9</v>
      </c>
      <c r="L22" s="286"/>
      <c r="M22" s="286"/>
      <c r="N22" s="286"/>
      <c r="O22" s="286"/>
      <c r="P22" s="286"/>
      <c r="Q22" s="286"/>
      <c r="R22" s="286"/>
      <c r="S22" s="286"/>
      <c r="T22" s="286"/>
    </row>
    <row r="23" spans="1:20" s="285" customFormat="1">
      <c r="A23" s="286" t="s">
        <v>782</v>
      </c>
      <c r="B23" s="234">
        <f>B20</f>
        <v>4482.5083202426404</v>
      </c>
      <c r="C23" s="234">
        <f t="shared" ref="C23:F23" si="4">C20</f>
        <v>5404.0277981548843</v>
      </c>
      <c r="D23" s="234">
        <f t="shared" si="4"/>
        <v>6053.2013953505875</v>
      </c>
      <c r="E23" s="234">
        <f t="shared" si="4"/>
        <v>6970.5911458940418</v>
      </c>
      <c r="F23" s="234">
        <f t="shared" si="4"/>
        <v>16912.219352156277</v>
      </c>
      <c r="G23" s="234">
        <f>G15*(1-0.4)</f>
        <v>24560.664385854041</v>
      </c>
      <c r="H23" s="234">
        <f t="shared" ref="H23:K23" si="5">H15*(1-0.4)</f>
        <v>25435.353143285229</v>
      </c>
      <c r="I23" s="234">
        <f t="shared" si="5"/>
        <v>23586.132823609001</v>
      </c>
      <c r="J23" s="234">
        <f t="shared" si="5"/>
        <v>16403.621497297572</v>
      </c>
      <c r="K23" s="234">
        <f t="shared" si="5"/>
        <v>11449.10293236416</v>
      </c>
      <c r="L23" s="286"/>
      <c r="M23" s="286"/>
      <c r="N23" s="286"/>
      <c r="O23" s="286"/>
      <c r="P23" s="286"/>
      <c r="Q23" s="286"/>
      <c r="R23" s="286"/>
      <c r="S23" s="286"/>
    </row>
    <row r="24" spans="1:20" s="285" customFormat="1">
      <c r="A24" s="286" t="s">
        <v>443</v>
      </c>
      <c r="B24" s="255">
        <f>B21</f>
        <v>10000</v>
      </c>
      <c r="C24" s="255">
        <f t="shared" ref="C24:K24" si="6">C21</f>
        <v>10000</v>
      </c>
      <c r="D24" s="255">
        <f t="shared" si="6"/>
        <v>10000</v>
      </c>
      <c r="E24" s="255">
        <f t="shared" si="6"/>
        <v>10000</v>
      </c>
      <c r="F24" s="255">
        <f t="shared" si="6"/>
        <v>10000</v>
      </c>
      <c r="G24" s="255">
        <f t="shared" si="6"/>
        <v>10000</v>
      </c>
      <c r="H24" s="255">
        <f t="shared" si="6"/>
        <v>10000</v>
      </c>
      <c r="I24" s="255">
        <f t="shared" si="6"/>
        <v>10000</v>
      </c>
      <c r="J24" s="255">
        <f t="shared" si="6"/>
        <v>10000</v>
      </c>
      <c r="K24" s="255">
        <f t="shared" si="6"/>
        <v>10000</v>
      </c>
    </row>
    <row r="26" spans="1:20" ht="18">
      <c r="A26" s="256" t="s">
        <v>440</v>
      </c>
    </row>
    <row r="27" spans="1:20">
      <c r="A27" t="s">
        <v>52</v>
      </c>
    </row>
    <row r="28" spans="1:20">
      <c r="B28" s="236" t="s">
        <v>0</v>
      </c>
      <c r="C28" s="236" t="s">
        <v>1</v>
      </c>
      <c r="D28" s="236" t="s">
        <v>2</v>
      </c>
      <c r="E28" s="236" t="s">
        <v>3</v>
      </c>
      <c r="F28" s="236" t="s">
        <v>4</v>
      </c>
      <c r="G28" s="236" t="s">
        <v>5</v>
      </c>
      <c r="H28" s="236" t="s">
        <v>6</v>
      </c>
      <c r="I28" s="236" t="s">
        <v>7</v>
      </c>
      <c r="J28" s="236" t="s">
        <v>8</v>
      </c>
      <c r="K28" s="236" t="s">
        <v>9</v>
      </c>
    </row>
    <row r="29" spans="1:20">
      <c r="A29" t="s">
        <v>216</v>
      </c>
      <c r="B29" s="255">
        <f>'SONI BPDT RAB'!D20</f>
        <v>3646.7229347733542</v>
      </c>
      <c r="C29" s="255">
        <f>'SONI BPDT RAB'!E20</f>
        <v>3516.2216488375375</v>
      </c>
      <c r="D29" s="255">
        <f>'SONI BPDT RAB'!F20</f>
        <v>3401.4685109399447</v>
      </c>
      <c r="E29" s="255">
        <f>'SONI BPDT RAB'!G20</f>
        <v>3276.9990954775549</v>
      </c>
      <c r="F29" s="255">
        <f>'SONI BPDT RAB'!H20*'SONI BPDT RAB'!J$9</f>
        <v>3168.2517089072167</v>
      </c>
      <c r="G29" s="255">
        <f>'SONI BPDT RAB'!I20*'SONI BPDT RAB'!K$9</f>
        <v>3945.68039506477</v>
      </c>
      <c r="H29" s="255">
        <f>'SONI BPDT RAB'!J20*'SONI BPDT RAB'!L$9</f>
        <v>4720.3273850624291</v>
      </c>
      <c r="I29" s="255">
        <f>'SONI BPDT RAB'!K20*'SONI BPDT RAB'!M$9</f>
        <v>4642.6738797131702</v>
      </c>
      <c r="J29" s="255">
        <f>'SONI BPDT RAB'!L20*'SONI BPDT RAB'!N$9</f>
        <v>4557.490980632595</v>
      </c>
      <c r="K29" s="255">
        <f>'SONI BPDT RAB'!M20*'SONI BPDT RAB'!O$9</f>
        <v>4464.4423560722389</v>
      </c>
    </row>
    <row r="30" spans="1:20">
      <c r="A30" t="s">
        <v>215</v>
      </c>
      <c r="B30" s="255">
        <f>'SONI BPDT RAB'!D28</f>
        <v>8390.8217174337169</v>
      </c>
      <c r="C30" s="255">
        <f>'SONI BPDT RAB'!E28</f>
        <v>7548.2661713100051</v>
      </c>
      <c r="D30" s="255">
        <f>'SONI BPDT RAB'!F28</f>
        <v>6151.3196763854166</v>
      </c>
      <c r="E30" s="255">
        <f>'SONI BPDT RAB'!G28</f>
        <v>4818.1704555939959</v>
      </c>
      <c r="F30" s="255">
        <f>'SONI BPDT RAB'!H28*'SONI BPDT RAB'!J$9</f>
        <v>4473.0533224247047</v>
      </c>
      <c r="G30" s="255">
        <f>'SONI BPDT RAB'!I28*'SONI BPDT RAB'!K$9</f>
        <v>7098.5155891894483</v>
      </c>
      <c r="H30" s="255">
        <f>'SONI BPDT RAB'!J28*'SONI BPDT RAB'!L$9</f>
        <v>11385.059542422468</v>
      </c>
      <c r="I30" s="255">
        <f>'SONI BPDT RAB'!K28*'SONI BPDT RAB'!M$9</f>
        <v>13606.998063215642</v>
      </c>
      <c r="J30" s="255">
        <f>'SONI BPDT RAB'!L28*'SONI BPDT RAB'!N$9</f>
        <v>13406.145955575044</v>
      </c>
      <c r="K30" s="255">
        <f>'SONI BPDT RAB'!M28*'SONI BPDT RAB'!O$9</f>
        <v>12224.345222153124</v>
      </c>
    </row>
    <row r="31" spans="1:20">
      <c r="A31" t="s">
        <v>388</v>
      </c>
      <c r="B31" s="255">
        <f>'SONI BPDT RAB'!D46</f>
        <v>3287.3815599825366</v>
      </c>
      <c r="C31" s="255">
        <f>'SONI BPDT RAB'!E46</f>
        <v>5492.0235974945826</v>
      </c>
      <c r="D31" s="255">
        <f>'SONI BPDT RAB'!F46</f>
        <v>7729.5172534240901</v>
      </c>
      <c r="E31" s="255">
        <f>'SONI BPDT RAB'!G46</f>
        <v>9323.8522027331819</v>
      </c>
      <c r="F31" s="255">
        <f>'SONI BPDT RAB'!H46*'SONI BPDT RAB'!J$9</f>
        <v>11309.573230746921</v>
      </c>
      <c r="G31" s="255">
        <f>'SONI BPDT RAB'!I46*'SONI BPDT RAB'!K$9</f>
        <v>14986.860027573015</v>
      </c>
      <c r="H31" s="255">
        <f>'SONI BPDT RAB'!J46*'SONI BPDT RAB'!L$9</f>
        <v>19042.302803157359</v>
      </c>
      <c r="I31" s="255">
        <f>'SONI BPDT RAB'!K46*'SONI BPDT RAB'!M$9</f>
        <v>21879.031189611127</v>
      </c>
      <c r="J31" s="255">
        <f>'SONI BPDT RAB'!L46*'SONI BPDT RAB'!N$9</f>
        <v>20000.717989056582</v>
      </c>
      <c r="K31" s="255">
        <f>'SONI BPDT RAB'!M46*'SONI BPDT RAB'!O$9</f>
        <v>13329.732318656797</v>
      </c>
    </row>
    <row r="32" spans="1:20">
      <c r="A32" t="s">
        <v>48</v>
      </c>
      <c r="B32" s="255">
        <f>'SONI BPDT RAB'!D36</f>
        <v>0</v>
      </c>
      <c r="C32" s="255">
        <f>'SONI BPDT RAB'!E36</f>
        <v>0</v>
      </c>
      <c r="D32" s="255">
        <f>'SONI BPDT RAB'!F36</f>
        <v>0</v>
      </c>
      <c r="E32" s="255">
        <f>'SONI BPDT RAB'!G36</f>
        <v>0</v>
      </c>
      <c r="F32" s="255">
        <f>'SONI BPDT RAB'!H36*'SONI BPDT RAB'!J$9</f>
        <v>10460.570730946982</v>
      </c>
      <c r="G32" s="255">
        <f>'SONI BPDT RAB'!I36*'SONI BPDT RAB'!K$9</f>
        <v>18854.978840724983</v>
      </c>
      <c r="H32" s="255">
        <f>'SONI BPDT RAB'!J36*'SONI BPDT RAB'!L$9</f>
        <v>13737.198869671063</v>
      </c>
      <c r="I32" s="255">
        <f>'SONI BPDT RAB'!K36*'SONI BPDT RAB'!M$9</f>
        <v>8407.1657082386919</v>
      </c>
      <c r="J32" s="255">
        <f>'SONI BPDT RAB'!L36*'SONI BPDT RAB'!N$9</f>
        <v>2858.4363408011559</v>
      </c>
      <c r="K32" s="255">
        <f>'SONI BPDT RAB'!M36*'SONI BPDT RAB'!O$9</f>
        <v>0</v>
      </c>
    </row>
    <row r="34" spans="1:11" ht="18">
      <c r="A34" s="256" t="s">
        <v>441</v>
      </c>
      <c r="C34" s="285"/>
      <c r="D34" s="285"/>
      <c r="E34" s="285"/>
      <c r="F34" s="285"/>
      <c r="G34" s="285"/>
      <c r="H34" s="285"/>
      <c r="I34" s="285"/>
      <c r="J34" s="285"/>
      <c r="K34" s="285"/>
    </row>
    <row r="35" spans="1:11">
      <c r="A35" s="285" t="s">
        <v>52</v>
      </c>
      <c r="B35" s="285"/>
      <c r="C35" s="285"/>
      <c r="D35" s="285"/>
      <c r="E35" s="285"/>
      <c r="F35" s="285"/>
      <c r="G35" s="285"/>
      <c r="H35" s="285"/>
      <c r="I35" s="285"/>
      <c r="J35" s="285"/>
      <c r="K35" s="285"/>
    </row>
    <row r="36" spans="1:11">
      <c r="A36" s="285"/>
      <c r="B36" s="236" t="s">
        <v>0</v>
      </c>
      <c r="C36" s="236" t="s">
        <v>1</v>
      </c>
      <c r="D36" s="236" t="s">
        <v>2</v>
      </c>
      <c r="E36" s="236" t="s">
        <v>3</v>
      </c>
      <c r="F36" s="236" t="s">
        <v>4</v>
      </c>
      <c r="G36" s="236" t="s">
        <v>5</v>
      </c>
      <c r="H36" s="236" t="s">
        <v>6</v>
      </c>
      <c r="I36" s="236" t="s">
        <v>7</v>
      </c>
      <c r="J36" s="236" t="s">
        <v>8</v>
      </c>
      <c r="K36" s="236" t="s">
        <v>9</v>
      </c>
    </row>
    <row r="37" spans="1:11">
      <c r="A37" s="285" t="s">
        <v>216</v>
      </c>
      <c r="B37" s="255">
        <f>'RAB summary'!I15</f>
        <v>2466.5120650393096</v>
      </c>
      <c r="C37" s="255">
        <f>'RAB summary'!J15</f>
        <v>2464.54236181134</v>
      </c>
      <c r="D37" s="255">
        <f>'RAB summary'!K15</f>
        <v>2437.0982152030306</v>
      </c>
      <c r="E37" s="255">
        <f>'RAB summary'!L15</f>
        <v>2397.5989552843394</v>
      </c>
      <c r="F37" s="255">
        <f>'RAB summary'!M15</f>
        <v>2297.8564752220077</v>
      </c>
      <c r="G37" s="255">
        <f>'RAB summary'!N15</f>
        <v>2223.9422469823639</v>
      </c>
      <c r="H37" s="255">
        <f>'RAB summary'!O15</f>
        <v>2178.8745636926174</v>
      </c>
      <c r="I37" s="255">
        <f>'RAB summary'!P15</f>
        <v>2109.3986412196996</v>
      </c>
      <c r="J37" s="255">
        <f>'RAB summary'!Q15</f>
        <v>2014.9412269243735</v>
      </c>
      <c r="K37" s="255">
        <f>'RAB summary'!R15</f>
        <v>1915.4160198898635</v>
      </c>
    </row>
    <row r="38" spans="1:11">
      <c r="A38" s="285" t="s">
        <v>215</v>
      </c>
      <c r="B38" s="255">
        <f>'RAB summary'!I8</f>
        <v>5395.0460595683317</v>
      </c>
      <c r="C38" s="255">
        <f>'RAB summary'!J8</f>
        <v>3944.4680834481665</v>
      </c>
      <c r="D38" s="255">
        <f>'RAB summary'!K8</f>
        <v>3301.9167478009254</v>
      </c>
      <c r="E38" s="255">
        <f>'RAB summary'!L8</f>
        <v>2764.8381046347663</v>
      </c>
      <c r="F38" s="255">
        <f>'RAB summary'!M8</f>
        <v>2355.2295241288339</v>
      </c>
      <c r="G38" s="255">
        <f>'RAB summary'!N8</f>
        <v>4047.73837098579</v>
      </c>
      <c r="H38" s="255">
        <f>'RAB summary'!O8</f>
        <v>7439.467773929282</v>
      </c>
      <c r="I38" s="255">
        <f>'RAB summary'!P8</f>
        <v>9076.5332591017141</v>
      </c>
      <c r="J38" s="255">
        <f>'RAB summary'!Q8</f>
        <v>8940.1034899393817</v>
      </c>
      <c r="K38" s="255">
        <f>'RAB summary'!R8</f>
        <v>8292.0852807070223</v>
      </c>
    </row>
    <row r="39" spans="1:11">
      <c r="A39" s="285" t="s">
        <v>388</v>
      </c>
      <c r="B39" s="255">
        <f>'RAB summary'!I23</f>
        <v>2430.1981419144881</v>
      </c>
      <c r="C39" s="255">
        <f>'RAB summary'!J23</f>
        <v>4751.3211788812105</v>
      </c>
      <c r="D39" s="255">
        <f>'RAB summary'!K23</f>
        <v>7193.1640331600838</v>
      </c>
      <c r="E39" s="255">
        <f>'RAB summary'!L23</f>
        <v>9033.8195984801168</v>
      </c>
      <c r="F39" s="255">
        <f>'RAB summary'!M23</f>
        <v>11054.713560973069</v>
      </c>
      <c r="G39" s="255">
        <f>'RAB summary'!N23</f>
        <v>14628.834108046098</v>
      </c>
      <c r="H39" s="255">
        <f>'RAB summary'!O23</f>
        <v>18677.116365239905</v>
      </c>
      <c r="I39" s="255">
        <f>'RAB summary'!P23</f>
        <v>21506.541022935322</v>
      </c>
      <c r="J39" s="255">
        <f>'RAB summary'!Q23</f>
        <v>19620.778019047262</v>
      </c>
      <c r="K39" s="255">
        <f>'RAB summary'!R23</f>
        <v>12942.193549247291</v>
      </c>
    </row>
    <row r="40" spans="1:11">
      <c r="A40" s="285" t="s">
        <v>48</v>
      </c>
      <c r="B40" s="255">
        <f>'RAB summary'!I30</f>
        <v>0</v>
      </c>
      <c r="C40" s="255">
        <f>'RAB summary'!J30</f>
        <v>0</v>
      </c>
      <c r="D40" s="255">
        <f>'RAB summary'!K30</f>
        <v>0</v>
      </c>
      <c r="E40" s="255">
        <f>'RAB summary'!L30</f>
        <v>0</v>
      </c>
      <c r="F40" s="255">
        <f>'RAB summary'!M30</f>
        <v>10460.570730946984</v>
      </c>
      <c r="G40" s="255">
        <f>'RAB summary'!N30</f>
        <v>18733.887527974566</v>
      </c>
      <c r="H40" s="255">
        <f>'RAB summary'!O30</f>
        <v>13777.233644518486</v>
      </c>
      <c r="I40" s="255">
        <f>'RAB summary'!P30</f>
        <v>8582.6879348765397</v>
      </c>
      <c r="J40" s="255">
        <f>'RAB summary'!Q30</f>
        <v>3142.0747452379478</v>
      </c>
      <c r="K40" s="255">
        <f>'RAB summary'!R30</f>
        <v>334.30253316222849</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249977111117893"/>
  </sheetPr>
  <dimension ref="A1"/>
  <sheetViews>
    <sheetView showGridLines="0" topLeftCell="D1" workbookViewId="0">
      <selection activeCell="J30" sqref="J30"/>
    </sheetView>
  </sheetViews>
  <sheetFormatPr defaultColWidth="8.6640625" defaultRowHeight="14.25"/>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39997558519241921"/>
  </sheetPr>
  <dimension ref="A1:Q189"/>
  <sheetViews>
    <sheetView showGridLines="0" zoomScale="80" zoomScaleNormal="80" workbookViewId="0">
      <selection activeCell="G34" sqref="G34"/>
    </sheetView>
  </sheetViews>
  <sheetFormatPr defaultColWidth="8.6640625" defaultRowHeight="14.25"/>
  <cols>
    <col min="1" max="1" width="34.6640625" style="285" customWidth="1"/>
    <col min="2" max="2" width="15" style="285" customWidth="1"/>
    <col min="3" max="3" width="14" style="285" customWidth="1"/>
    <col min="4" max="7" width="8.6640625" style="285"/>
    <col min="8" max="8" width="9.1328125" style="285" bestFit="1" customWidth="1"/>
    <col min="9" max="9" width="8.6640625" style="285"/>
    <col min="10" max="10" width="26.6640625" style="285" customWidth="1"/>
    <col min="11" max="11" width="8.6640625" style="285"/>
    <col min="12" max="12" width="13.6640625" style="285" customWidth="1"/>
    <col min="13" max="16384" width="8.6640625" style="285"/>
  </cols>
  <sheetData>
    <row r="1" spans="1:17" ht="18">
      <c r="A1" s="256" t="s">
        <v>509</v>
      </c>
      <c r="B1" s="257"/>
    </row>
    <row r="2" spans="1:17">
      <c r="A2" s="286"/>
      <c r="B2" s="286"/>
      <c r="C2" s="232"/>
      <c r="D2" s="232"/>
      <c r="E2" s="232"/>
      <c r="F2" s="232"/>
      <c r="G2" s="232"/>
      <c r="H2" s="232"/>
      <c r="I2" s="232"/>
      <c r="J2" s="232"/>
      <c r="K2" s="232"/>
      <c r="L2" s="232"/>
      <c r="M2" s="232"/>
      <c r="N2" s="232"/>
      <c r="O2" s="232"/>
      <c r="P2" s="232"/>
      <c r="Q2" s="232"/>
    </row>
    <row r="3" spans="1:17" ht="18">
      <c r="A3" s="256" t="s">
        <v>395</v>
      </c>
      <c r="I3" s="296"/>
      <c r="J3" s="65"/>
      <c r="K3" s="1"/>
      <c r="L3" s="1"/>
      <c r="M3" s="236"/>
      <c r="N3" s="236"/>
      <c r="O3" s="236"/>
      <c r="P3" s="236"/>
      <c r="Q3" s="236"/>
    </row>
    <row r="4" spans="1:17">
      <c r="I4" s="74"/>
      <c r="J4" s="74"/>
      <c r="Q4" s="71"/>
    </row>
    <row r="5" spans="1:17">
      <c r="A5" s="65" t="s">
        <v>392</v>
      </c>
      <c r="B5" s="1" t="s">
        <v>10</v>
      </c>
      <c r="C5" s="1" t="s">
        <v>11</v>
      </c>
      <c r="D5" s="236" t="s">
        <v>5</v>
      </c>
      <c r="E5" s="236" t="s">
        <v>6</v>
      </c>
      <c r="F5" s="236" t="s">
        <v>7</v>
      </c>
      <c r="G5" s="236" t="s">
        <v>8</v>
      </c>
      <c r="H5" s="236" t="s">
        <v>9</v>
      </c>
      <c r="I5" s="5"/>
    </row>
    <row r="6" spans="1:17">
      <c r="A6" s="232" t="s">
        <v>521</v>
      </c>
      <c r="B6" s="221" t="s">
        <v>12</v>
      </c>
      <c r="C6" s="1"/>
      <c r="D6" s="72">
        <v>-0.2</v>
      </c>
      <c r="E6" s="74">
        <f>D6</f>
        <v>-0.2</v>
      </c>
      <c r="F6" s="74">
        <f t="shared" ref="F6:H6" si="0">E6</f>
        <v>-0.2</v>
      </c>
      <c r="G6" s="74">
        <f t="shared" si="0"/>
        <v>-0.2</v>
      </c>
      <c r="H6" s="74">
        <f t="shared" si="0"/>
        <v>-0.2</v>
      </c>
      <c r="I6" s="5"/>
    </row>
    <row r="7" spans="1:17">
      <c r="A7" s="285" t="s">
        <v>510</v>
      </c>
      <c r="B7" s="286" t="s">
        <v>40</v>
      </c>
      <c r="C7" s="285" t="s">
        <v>53</v>
      </c>
      <c r="D7" s="5">
        <f>D6*'Regulated revenue'!D21*(1-'FD allowances'!$B$5)</f>
        <v>-747.89676115545649</v>
      </c>
      <c r="E7" s="5">
        <f>E6*'Regulated revenue'!E21*(1-'FD allowances'!$B$5)</f>
        <v>-758.00785661410521</v>
      </c>
      <c r="F7" s="5">
        <f>F6*'Regulated revenue'!F21*(1-'FD allowances'!$B$5)</f>
        <v>-762.9104787523479</v>
      </c>
      <c r="G7" s="5">
        <f>G6*'Regulated revenue'!G21*(1-'FD allowances'!$B$5)</f>
        <v>-785.62694822414551</v>
      </c>
      <c r="H7" s="5">
        <f>H6*'Regulated revenue'!H21*(1-'FD allowances'!$B$5)</f>
        <v>-708.58041016327559</v>
      </c>
      <c r="I7" s="5"/>
    </row>
    <row r="8" spans="1:17">
      <c r="A8" s="285" t="s">
        <v>511</v>
      </c>
      <c r="B8" s="286" t="s">
        <v>40</v>
      </c>
      <c r="C8" s="285" t="s">
        <v>53</v>
      </c>
      <c r="D8" s="5">
        <f>D7*WACC!$B$10</f>
        <v>-142.10038461953673</v>
      </c>
      <c r="E8" s="5">
        <f>E7*WACC!$B$10</f>
        <v>-144.02149275668</v>
      </c>
      <c r="F8" s="5">
        <f>F7*WACC!$B$10</f>
        <v>-144.9529909629461</v>
      </c>
      <c r="G8" s="5">
        <f>G7*WACC!$B$10</f>
        <v>-149.26912016258765</v>
      </c>
      <c r="H8" s="5">
        <f>H7*WACC!$B$10</f>
        <v>-134.63027793102236</v>
      </c>
      <c r="I8" s="5"/>
      <c r="J8" s="5"/>
    </row>
    <row r="9" spans="1:17">
      <c r="A9" s="285" t="s">
        <v>512</v>
      </c>
      <c r="B9" s="286" t="s">
        <v>40</v>
      </c>
      <c r="C9" s="285" t="s">
        <v>53</v>
      </c>
      <c r="D9" s="5">
        <f>D7-D8</f>
        <v>-605.79637653591976</v>
      </c>
      <c r="E9" s="5">
        <f t="shared" ref="E9:H9" si="1">E7-E8</f>
        <v>-613.9863638574252</v>
      </c>
      <c r="F9" s="5">
        <f t="shared" si="1"/>
        <v>-617.95748778940174</v>
      </c>
      <c r="G9" s="5">
        <f t="shared" si="1"/>
        <v>-636.35782806155783</v>
      </c>
      <c r="H9" s="5">
        <f t="shared" si="1"/>
        <v>-573.95013223225328</v>
      </c>
      <c r="I9" s="5"/>
    </row>
    <row r="10" spans="1:17">
      <c r="A10" s="285" t="s">
        <v>513</v>
      </c>
      <c r="B10" s="286" t="s">
        <v>12</v>
      </c>
      <c r="D10" s="2">
        <f>D9/RoRE!E$8</f>
        <v>-2.6225322279194843E-2</v>
      </c>
      <c r="E10" s="2">
        <f>E9/RoRE!F$8</f>
        <v>-2.5540245550990107E-2</v>
      </c>
      <c r="F10" s="2">
        <f>F9/RoRE!G$8</f>
        <v>-2.6726164877126646E-2</v>
      </c>
      <c r="G10" s="2">
        <f>G9/RoRE!H$8</f>
        <v>-3.4364331164098136E-2</v>
      </c>
      <c r="H10" s="2">
        <f>H9/RoRE!I$8</f>
        <v>-4.5390952822689998E-2</v>
      </c>
      <c r="I10" s="5"/>
    </row>
    <row r="11" spans="1:17">
      <c r="C11" s="72"/>
    </row>
    <row r="12" spans="1:17">
      <c r="A12" s="65" t="s">
        <v>393</v>
      </c>
      <c r="B12" s="1" t="s">
        <v>10</v>
      </c>
      <c r="C12" s="1" t="s">
        <v>11</v>
      </c>
      <c r="D12" s="236" t="s">
        <v>5</v>
      </c>
      <c r="E12" s="236" t="s">
        <v>6</v>
      </c>
      <c r="F12" s="236" t="s">
        <v>7</v>
      </c>
      <c r="G12" s="236" t="s">
        <v>8</v>
      </c>
      <c r="H12" s="236" t="s">
        <v>9</v>
      </c>
    </row>
    <row r="13" spans="1:17">
      <c r="A13" s="232" t="s">
        <v>521</v>
      </c>
      <c r="B13" s="221" t="s">
        <v>12</v>
      </c>
      <c r="C13" s="1"/>
      <c r="D13" s="72">
        <v>-0.1</v>
      </c>
      <c r="E13" s="74">
        <f>D13</f>
        <v>-0.1</v>
      </c>
      <c r="F13" s="74">
        <f t="shared" ref="F13:H13" si="2">E13</f>
        <v>-0.1</v>
      </c>
      <c r="G13" s="74">
        <f t="shared" si="2"/>
        <v>-0.1</v>
      </c>
      <c r="H13" s="74">
        <f t="shared" si="2"/>
        <v>-0.1</v>
      </c>
    </row>
    <row r="14" spans="1:17">
      <c r="A14" s="285" t="s">
        <v>510</v>
      </c>
      <c r="B14" s="286" t="s">
        <v>40</v>
      </c>
      <c r="C14" s="285" t="s">
        <v>53</v>
      </c>
      <c r="D14" s="5">
        <f>D13*'Regulated revenue'!D21*(1-'FD allowances'!$B$5)</f>
        <v>-373.94838057772824</v>
      </c>
      <c r="E14" s="5">
        <f>E13*'Regulated revenue'!E21*(1-'FD allowances'!$B$5)</f>
        <v>-379.0039283070526</v>
      </c>
      <c r="F14" s="5">
        <f>F13*'Regulated revenue'!F21*(1-'FD allowances'!$B$5)</f>
        <v>-381.45523937617395</v>
      </c>
      <c r="G14" s="5">
        <f>G13*'Regulated revenue'!G21*(1-'FD allowances'!$B$5)</f>
        <v>-392.81347411207275</v>
      </c>
      <c r="H14" s="5">
        <f>H13*'Regulated revenue'!H21*(1-'FD allowances'!$B$5)</f>
        <v>-354.29020508163779</v>
      </c>
    </row>
    <row r="15" spans="1:17">
      <c r="A15" s="285" t="s">
        <v>511</v>
      </c>
      <c r="B15" s="286" t="s">
        <v>40</v>
      </c>
      <c r="C15" s="285" t="s">
        <v>53</v>
      </c>
      <c r="D15" s="5">
        <f>D14*WACC!$B$10</f>
        <v>-71.050192309768363</v>
      </c>
      <c r="E15" s="5">
        <f>E14*WACC!$B$10</f>
        <v>-72.010746378340002</v>
      </c>
      <c r="F15" s="5">
        <f>F14*WACC!$B$10</f>
        <v>-72.476495481473052</v>
      </c>
      <c r="G15" s="5">
        <f>G14*WACC!$B$10</f>
        <v>-74.634560081293827</v>
      </c>
      <c r="H15" s="5">
        <f>H14*WACC!$B$10</f>
        <v>-67.315138965511181</v>
      </c>
    </row>
    <row r="16" spans="1:17">
      <c r="A16" s="285" t="s">
        <v>512</v>
      </c>
      <c r="B16" s="286" t="s">
        <v>40</v>
      </c>
      <c r="C16" s="285" t="s">
        <v>53</v>
      </c>
      <c r="D16" s="5">
        <f>D14-D15</f>
        <v>-302.89818826795988</v>
      </c>
      <c r="E16" s="5">
        <f t="shared" ref="E16" si="3">E14-E15</f>
        <v>-306.9931819287126</v>
      </c>
      <c r="F16" s="5">
        <f t="shared" ref="F16" si="4">F14-F15</f>
        <v>-308.97874389470087</v>
      </c>
      <c r="G16" s="5">
        <f t="shared" ref="G16" si="5">G14-G15</f>
        <v>-318.17891403077891</v>
      </c>
      <c r="H16" s="5">
        <f t="shared" ref="H16" si="6">H14-H15</f>
        <v>-286.97506611612664</v>
      </c>
    </row>
    <row r="17" spans="1:8">
      <c r="A17" s="285" t="s">
        <v>513</v>
      </c>
      <c r="B17" s="286" t="s">
        <v>12</v>
      </c>
      <c r="D17" s="2">
        <f>D16/RoRE!E$8</f>
        <v>-1.3112661139597422E-2</v>
      </c>
      <c r="E17" s="2">
        <f>E16/RoRE!F$8</f>
        <v>-1.2770122775495054E-2</v>
      </c>
      <c r="F17" s="2">
        <f>F16/RoRE!G$8</f>
        <v>-1.3363082438563323E-2</v>
      </c>
      <c r="G17" s="2">
        <f>G16/RoRE!H$8</f>
        <v>-1.7182165582049068E-2</v>
      </c>
      <c r="H17" s="2">
        <f>H16/RoRE!I$8</f>
        <v>-2.2695476411344999E-2</v>
      </c>
    </row>
    <row r="18" spans="1:8">
      <c r="C18" s="72"/>
    </row>
    <row r="19" spans="1:8">
      <c r="A19" s="65" t="s">
        <v>394</v>
      </c>
      <c r="B19" s="1" t="s">
        <v>10</v>
      </c>
      <c r="C19" s="1" t="s">
        <v>11</v>
      </c>
      <c r="D19" s="236" t="s">
        <v>5</v>
      </c>
      <c r="E19" s="236" t="s">
        <v>6</v>
      </c>
      <c r="F19" s="236" t="s">
        <v>7</v>
      </c>
      <c r="G19" s="236" t="s">
        <v>8</v>
      </c>
      <c r="H19" s="236" t="s">
        <v>9</v>
      </c>
    </row>
    <row r="20" spans="1:8">
      <c r="A20" s="232" t="s">
        <v>521</v>
      </c>
      <c r="B20" s="221" t="s">
        <v>12</v>
      </c>
      <c r="C20" s="1"/>
      <c r="D20" s="72">
        <v>0.2</v>
      </c>
      <c r="E20" s="74">
        <f>D20</f>
        <v>0.2</v>
      </c>
      <c r="F20" s="74">
        <f t="shared" ref="F20:H20" si="7">E20</f>
        <v>0.2</v>
      </c>
      <c r="G20" s="74">
        <f t="shared" si="7"/>
        <v>0.2</v>
      </c>
      <c r="H20" s="74">
        <f t="shared" si="7"/>
        <v>0.2</v>
      </c>
    </row>
    <row r="21" spans="1:8">
      <c r="A21" s="285" t="s">
        <v>510</v>
      </c>
      <c r="B21" s="286" t="s">
        <v>40</v>
      </c>
      <c r="C21" s="285" t="s">
        <v>53</v>
      </c>
      <c r="D21" s="5">
        <f>D20*'Regulated revenue'!D21*(1-'FD allowances'!$B$5)</f>
        <v>747.89676115545649</v>
      </c>
      <c r="E21" s="5">
        <f>E20*'Regulated revenue'!E21*(1-'FD allowances'!$B$5)</f>
        <v>758.00785661410521</v>
      </c>
      <c r="F21" s="5">
        <f>F20*'Regulated revenue'!F21*(1-'FD allowances'!$B$5)</f>
        <v>762.9104787523479</v>
      </c>
      <c r="G21" s="5">
        <f>G20*'Regulated revenue'!G21*(1-'FD allowances'!$B$5)</f>
        <v>785.62694822414551</v>
      </c>
      <c r="H21" s="5">
        <f>H20*'Regulated revenue'!H21*(1-'FD allowances'!$B$5)</f>
        <v>708.58041016327559</v>
      </c>
    </row>
    <row r="22" spans="1:8">
      <c r="A22" s="285" t="s">
        <v>511</v>
      </c>
      <c r="B22" s="286" t="s">
        <v>40</v>
      </c>
      <c r="C22" s="285" t="s">
        <v>53</v>
      </c>
      <c r="D22" s="5">
        <f>D21*WACC!$B$10</f>
        <v>142.10038461953673</v>
      </c>
      <c r="E22" s="5">
        <f>E21*WACC!$B$10</f>
        <v>144.02149275668</v>
      </c>
      <c r="F22" s="5">
        <f>F21*WACC!$B$10</f>
        <v>144.9529909629461</v>
      </c>
      <c r="G22" s="5">
        <f>G21*WACC!$B$10</f>
        <v>149.26912016258765</v>
      </c>
      <c r="H22" s="5">
        <f>H21*WACC!$B$10</f>
        <v>134.63027793102236</v>
      </c>
    </row>
    <row r="23" spans="1:8">
      <c r="A23" s="285" t="s">
        <v>512</v>
      </c>
      <c r="B23" s="286" t="s">
        <v>40</v>
      </c>
      <c r="C23" s="285" t="s">
        <v>53</v>
      </c>
      <c r="D23" s="5">
        <f>D21-D22</f>
        <v>605.79637653591976</v>
      </c>
      <c r="E23" s="5">
        <f t="shared" ref="E23" si="8">E21-E22</f>
        <v>613.9863638574252</v>
      </c>
      <c r="F23" s="5">
        <f t="shared" ref="F23" si="9">F21-F22</f>
        <v>617.95748778940174</v>
      </c>
      <c r="G23" s="5">
        <f t="shared" ref="G23" si="10">G21-G22</f>
        <v>636.35782806155783</v>
      </c>
      <c r="H23" s="5">
        <f t="shared" ref="H23" si="11">H21-H22</f>
        <v>573.95013223225328</v>
      </c>
    </row>
    <row r="24" spans="1:8">
      <c r="A24" s="285" t="s">
        <v>513</v>
      </c>
      <c r="B24" s="286" t="s">
        <v>12</v>
      </c>
      <c r="D24" s="2">
        <f>D23/RoRE!E$8</f>
        <v>2.6225322279194843E-2</v>
      </c>
      <c r="E24" s="2">
        <f>E23/RoRE!F$8</f>
        <v>2.5540245550990107E-2</v>
      </c>
      <c r="F24" s="2">
        <f>F23/RoRE!G$8</f>
        <v>2.6726164877126646E-2</v>
      </c>
      <c r="G24" s="2">
        <f>G23/RoRE!H$8</f>
        <v>3.4364331164098136E-2</v>
      </c>
      <c r="H24" s="2">
        <f>H23/RoRE!I$8</f>
        <v>4.5390952822689998E-2</v>
      </c>
    </row>
    <row r="25" spans="1:8">
      <c r="C25" s="72"/>
    </row>
    <row r="26" spans="1:8">
      <c r="A26" s="65" t="s">
        <v>393</v>
      </c>
      <c r="B26" s="1" t="s">
        <v>10</v>
      </c>
      <c r="C26" s="1" t="s">
        <v>11</v>
      </c>
      <c r="D26" s="236" t="s">
        <v>5</v>
      </c>
      <c r="E26" s="236" t="s">
        <v>6</v>
      </c>
      <c r="F26" s="236" t="s">
        <v>7</v>
      </c>
      <c r="G26" s="236" t="s">
        <v>8</v>
      </c>
      <c r="H26" s="236" t="s">
        <v>9</v>
      </c>
    </row>
    <row r="27" spans="1:8">
      <c r="A27" s="232" t="s">
        <v>521</v>
      </c>
      <c r="B27" s="221" t="s">
        <v>12</v>
      </c>
      <c r="C27" s="1"/>
      <c r="D27" s="72">
        <v>0.1</v>
      </c>
      <c r="E27" s="74">
        <f>D27</f>
        <v>0.1</v>
      </c>
      <c r="F27" s="74">
        <f t="shared" ref="F27:H27" si="12">E27</f>
        <v>0.1</v>
      </c>
      <c r="G27" s="74">
        <f t="shared" si="12"/>
        <v>0.1</v>
      </c>
      <c r="H27" s="74">
        <f t="shared" si="12"/>
        <v>0.1</v>
      </c>
    </row>
    <row r="28" spans="1:8">
      <c r="A28" s="285" t="s">
        <v>510</v>
      </c>
      <c r="B28" s="286" t="s">
        <v>40</v>
      </c>
      <c r="C28" s="285" t="s">
        <v>53</v>
      </c>
      <c r="D28" s="5">
        <f>D27*'Regulated revenue'!D21*(1-'FD allowances'!$B$5)</f>
        <v>373.94838057772824</v>
      </c>
      <c r="E28" s="5">
        <f>E27*'Regulated revenue'!E21*(1-'FD allowances'!$B$5)</f>
        <v>379.0039283070526</v>
      </c>
      <c r="F28" s="5">
        <f>F27*'Regulated revenue'!F21*(1-'FD allowances'!$B$5)</f>
        <v>381.45523937617395</v>
      </c>
      <c r="G28" s="5">
        <f>G27*'Regulated revenue'!G21*(1-'FD allowances'!$B$5)</f>
        <v>392.81347411207275</v>
      </c>
      <c r="H28" s="5">
        <f>H27*'Regulated revenue'!H21*(1-'FD allowances'!$B$5)</f>
        <v>354.29020508163779</v>
      </c>
    </row>
    <row r="29" spans="1:8">
      <c r="A29" s="285" t="s">
        <v>511</v>
      </c>
      <c r="B29" s="286" t="s">
        <v>40</v>
      </c>
      <c r="C29" s="285" t="s">
        <v>53</v>
      </c>
      <c r="D29" s="5">
        <f>D28*WACC!$B$10</f>
        <v>71.050192309768363</v>
      </c>
      <c r="E29" s="5">
        <f>E28*WACC!$B$10</f>
        <v>72.010746378340002</v>
      </c>
      <c r="F29" s="5">
        <f>F28*WACC!$B$10</f>
        <v>72.476495481473052</v>
      </c>
      <c r="G29" s="5">
        <f>G28*WACC!$B$10</f>
        <v>74.634560081293827</v>
      </c>
      <c r="H29" s="5">
        <f>H28*WACC!$B$10</f>
        <v>67.315138965511181</v>
      </c>
    </row>
    <row r="30" spans="1:8">
      <c r="A30" s="285" t="s">
        <v>512</v>
      </c>
      <c r="B30" s="286" t="s">
        <v>40</v>
      </c>
      <c r="C30" s="285" t="s">
        <v>53</v>
      </c>
      <c r="D30" s="5">
        <f>D28-D29</f>
        <v>302.89818826795988</v>
      </c>
      <c r="E30" s="5">
        <f t="shared" ref="E30" si="13">E28-E29</f>
        <v>306.9931819287126</v>
      </c>
      <c r="F30" s="5">
        <f t="shared" ref="F30" si="14">F28-F29</f>
        <v>308.97874389470087</v>
      </c>
      <c r="G30" s="5">
        <f t="shared" ref="G30" si="15">G28-G29</f>
        <v>318.17891403077891</v>
      </c>
      <c r="H30" s="5">
        <f t="shared" ref="H30" si="16">H28-H29</f>
        <v>286.97506611612664</v>
      </c>
    </row>
    <row r="31" spans="1:8">
      <c r="A31" s="285" t="s">
        <v>513</v>
      </c>
      <c r="B31" s="286" t="s">
        <v>12</v>
      </c>
      <c r="D31" s="2">
        <f>D30/RoRE!E$8</f>
        <v>1.3112661139597422E-2</v>
      </c>
      <c r="E31" s="2">
        <f>E30/RoRE!F$8</f>
        <v>1.2770122775495054E-2</v>
      </c>
      <c r="F31" s="2">
        <f>F30/RoRE!G$8</f>
        <v>1.3363082438563323E-2</v>
      </c>
      <c r="G31" s="2">
        <f>G30/RoRE!H$8</f>
        <v>1.7182165582049068E-2</v>
      </c>
      <c r="H31" s="2">
        <f>H30/RoRE!I$8</f>
        <v>2.2695476411344999E-2</v>
      </c>
    </row>
    <row r="32" spans="1:8">
      <c r="B32" s="286"/>
      <c r="D32" s="2"/>
      <c r="E32" s="2"/>
      <c r="F32" s="2"/>
      <c r="G32" s="2"/>
      <c r="H32" s="2"/>
    </row>
    <row r="33" spans="1:8" ht="18">
      <c r="A33" s="256" t="s">
        <v>753</v>
      </c>
    </row>
    <row r="35" spans="1:8">
      <c r="A35" s="65" t="s">
        <v>754</v>
      </c>
      <c r="B35" s="1" t="s">
        <v>10</v>
      </c>
      <c r="C35" s="1" t="s">
        <v>11</v>
      </c>
      <c r="D35" s="236" t="s">
        <v>5</v>
      </c>
      <c r="E35" s="236" t="s">
        <v>6</v>
      </c>
      <c r="F35" s="236" t="s">
        <v>7</v>
      </c>
      <c r="G35" s="236" t="s">
        <v>8</v>
      </c>
      <c r="H35" s="236" t="s">
        <v>9</v>
      </c>
    </row>
    <row r="36" spans="1:8">
      <c r="A36" s="232" t="s">
        <v>521</v>
      </c>
      <c r="B36" s="221" t="s">
        <v>12</v>
      </c>
      <c r="C36" s="1"/>
      <c r="D36" s="72">
        <v>-0.2</v>
      </c>
      <c r="E36" s="74">
        <f>D36</f>
        <v>-0.2</v>
      </c>
      <c r="F36" s="74">
        <f t="shared" ref="F36" si="17">E36</f>
        <v>-0.2</v>
      </c>
      <c r="G36" s="74">
        <f t="shared" ref="G36" si="18">F36</f>
        <v>-0.2</v>
      </c>
      <c r="H36" s="74">
        <f t="shared" ref="H36" si="19">G36</f>
        <v>-0.2</v>
      </c>
    </row>
    <row r="37" spans="1:8">
      <c r="A37" s="285" t="s">
        <v>510</v>
      </c>
      <c r="B37" s="286" t="s">
        <v>40</v>
      </c>
      <c r="C37" s="285" t="s">
        <v>53</v>
      </c>
      <c r="D37" s="5">
        <f>D36*('Regulated revenue'!D21+RAB!S67+RAB!S120)*(1-'FD allowances'!$B$5)</f>
        <v>-995.2361652583154</v>
      </c>
      <c r="E37" s="5">
        <f>E36*('Regulated revenue'!E21+RAB!T67+RAB!T120)*(1-'FD allowances'!$B$5)</f>
        <v>-1005.6365692420383</v>
      </c>
      <c r="F37" s="5">
        <f>F36*('Regulated revenue'!F21+RAB!U67+RAB!U120)*(1-'FD allowances'!$B$5)</f>
        <v>-896.81682272220576</v>
      </c>
      <c r="G37" s="5">
        <f>G36*('Regulated revenue'!G21+RAB!V67+RAB!V120)*(1-'FD allowances'!$B$5)</f>
        <v>-906.20789214982472</v>
      </c>
      <c r="H37" s="5">
        <f>H36*('Regulated revenue'!H21+RAB!W67+RAB!W120)*(1-'FD allowances'!$B$5)</f>
        <v>-820.67962691194646</v>
      </c>
    </row>
    <row r="38" spans="1:8">
      <c r="A38" s="285" t="s">
        <v>511</v>
      </c>
      <c r="B38" s="286" t="s">
        <v>40</v>
      </c>
      <c r="C38" s="285" t="s">
        <v>53</v>
      </c>
      <c r="D38" s="5">
        <f>D37*WACC!$B$10</f>
        <v>-189.09487139907992</v>
      </c>
      <c r="E38" s="5">
        <f>E37*WACC!$B$10</f>
        <v>-191.07094815598728</v>
      </c>
      <c r="F38" s="5">
        <f>F37*WACC!$B$10</f>
        <v>-170.3951963172191</v>
      </c>
      <c r="G38" s="5">
        <f>G37*WACC!$B$10</f>
        <v>-172.17949950846671</v>
      </c>
      <c r="H38" s="5">
        <f>H37*WACC!$B$10</f>
        <v>-155.92912911326982</v>
      </c>
    </row>
    <row r="39" spans="1:8">
      <c r="A39" s="285" t="s">
        <v>512</v>
      </c>
      <c r="B39" s="286" t="s">
        <v>40</v>
      </c>
      <c r="C39" s="285" t="s">
        <v>53</v>
      </c>
      <c r="D39" s="5">
        <f>D37-D38</f>
        <v>-806.14129385923547</v>
      </c>
      <c r="E39" s="5">
        <f t="shared" ref="E39:H39" si="20">E37-E38</f>
        <v>-814.56562108605101</v>
      </c>
      <c r="F39" s="5">
        <f t="shared" si="20"/>
        <v>-726.42162640498668</v>
      </c>
      <c r="G39" s="5">
        <f t="shared" si="20"/>
        <v>-734.02839264135798</v>
      </c>
      <c r="H39" s="5">
        <f t="shared" si="20"/>
        <v>-664.75049779867663</v>
      </c>
    </row>
    <row r="40" spans="1:8">
      <c r="A40" s="285" t="s">
        <v>513</v>
      </c>
      <c r="B40" s="286" t="s">
        <v>12</v>
      </c>
      <c r="D40" s="2">
        <f>D39/RoRE!E$8</f>
        <v>-3.4898385089254531E-2</v>
      </c>
      <c r="E40" s="2">
        <f>E39/RoRE!F$8</f>
        <v>-3.38838241442826E-2</v>
      </c>
      <c r="F40" s="2">
        <f>F39/RoRE!G$8</f>
        <v>-3.141715173168444E-2</v>
      </c>
      <c r="G40" s="2">
        <f>G39/RoRE!H$8</f>
        <v>-3.963869643187324E-2</v>
      </c>
      <c r="H40" s="2">
        <f>H39/RoRE!I$8</f>
        <v>-5.2571916600289981E-2</v>
      </c>
    </row>
    <row r="41" spans="1:8">
      <c r="C41" s="72"/>
    </row>
    <row r="42" spans="1:8">
      <c r="A42" s="65" t="s">
        <v>755</v>
      </c>
      <c r="B42" s="1" t="s">
        <v>10</v>
      </c>
      <c r="C42" s="1" t="s">
        <v>11</v>
      </c>
      <c r="D42" s="236" t="s">
        <v>5</v>
      </c>
      <c r="E42" s="236" t="s">
        <v>6</v>
      </c>
      <c r="F42" s="236" t="s">
        <v>7</v>
      </c>
      <c r="G42" s="236" t="s">
        <v>8</v>
      </c>
      <c r="H42" s="236" t="s">
        <v>9</v>
      </c>
    </row>
    <row r="43" spans="1:8">
      <c r="A43" s="232" t="s">
        <v>521</v>
      </c>
      <c r="B43" s="221" t="s">
        <v>12</v>
      </c>
      <c r="C43" s="1"/>
      <c r="D43" s="72">
        <v>-0.1</v>
      </c>
      <c r="E43" s="74">
        <f>D43</f>
        <v>-0.1</v>
      </c>
      <c r="F43" s="74">
        <f t="shared" ref="F43" si="21">E43</f>
        <v>-0.1</v>
      </c>
      <c r="G43" s="74">
        <f t="shared" ref="G43" si="22">F43</f>
        <v>-0.1</v>
      </c>
      <c r="H43" s="74">
        <f t="shared" ref="H43" si="23">G43</f>
        <v>-0.1</v>
      </c>
    </row>
    <row r="44" spans="1:8">
      <c r="A44" s="285" t="s">
        <v>510</v>
      </c>
      <c r="B44" s="286" t="s">
        <v>40</v>
      </c>
      <c r="C44" s="285" t="s">
        <v>53</v>
      </c>
      <c r="D44" s="5">
        <f>D43*('Regulated revenue'!D21+RAB!S67+RAB!S120)*(1-'FD allowances'!$B$5)</f>
        <v>-497.6180826291577</v>
      </c>
      <c r="E44" s="5">
        <f>E43*('Regulated revenue'!E21+RAB!T67+RAB!T120)*(1-'FD allowances'!$B$5)</f>
        <v>-502.81828462101913</v>
      </c>
      <c r="F44" s="5">
        <f>F43*('Regulated revenue'!F21+RAB!U67+RAB!U120)*(1-'FD allowances'!$B$5)</f>
        <v>-448.40841136110288</v>
      </c>
      <c r="G44" s="5">
        <f>G43*('Regulated revenue'!G21+RAB!V67+RAB!V120)*(1-'FD allowances'!$B$5)</f>
        <v>-453.10394607491236</v>
      </c>
      <c r="H44" s="5">
        <f>H43*('Regulated revenue'!H21+RAB!W67+RAB!W120)*(1-'FD allowances'!$B$5)</f>
        <v>-410.33981345597323</v>
      </c>
    </row>
    <row r="45" spans="1:8">
      <c r="A45" s="285" t="s">
        <v>511</v>
      </c>
      <c r="B45" s="286" t="s">
        <v>40</v>
      </c>
      <c r="C45" s="285" t="s">
        <v>53</v>
      </c>
      <c r="D45" s="5">
        <f>D44*WACC!$B$10</f>
        <v>-94.54743569953996</v>
      </c>
      <c r="E45" s="5">
        <f>E44*WACC!$B$10</f>
        <v>-95.535474077993641</v>
      </c>
      <c r="F45" s="5">
        <f>F44*WACC!$B$10</f>
        <v>-85.197598158609551</v>
      </c>
      <c r="G45" s="5">
        <f>G44*WACC!$B$10</f>
        <v>-86.089749754233353</v>
      </c>
      <c r="H45" s="5">
        <f>H44*WACC!$B$10</f>
        <v>-77.964564556634912</v>
      </c>
    </row>
    <row r="46" spans="1:8">
      <c r="A46" s="285" t="s">
        <v>512</v>
      </c>
      <c r="B46" s="286" t="s">
        <v>40</v>
      </c>
      <c r="C46" s="285" t="s">
        <v>53</v>
      </c>
      <c r="D46" s="5">
        <f>D44-D45</f>
        <v>-403.07064692961774</v>
      </c>
      <c r="E46" s="5">
        <f t="shared" ref="E46:H46" si="24">E44-E45</f>
        <v>-407.28281054302551</v>
      </c>
      <c r="F46" s="5">
        <f t="shared" si="24"/>
        <v>-363.21081320249334</v>
      </c>
      <c r="G46" s="5">
        <f t="shared" si="24"/>
        <v>-367.01419632067899</v>
      </c>
      <c r="H46" s="5">
        <f t="shared" si="24"/>
        <v>-332.37524889933832</v>
      </c>
    </row>
    <row r="47" spans="1:8">
      <c r="A47" s="285" t="s">
        <v>513</v>
      </c>
      <c r="B47" s="286" t="s">
        <v>12</v>
      </c>
      <c r="D47" s="2">
        <f>D46/RoRE!E$8</f>
        <v>-1.7449192544627266E-2</v>
      </c>
      <c r="E47" s="2">
        <f>E46/RoRE!F$8</f>
        <v>-1.69419120721413E-2</v>
      </c>
      <c r="F47" s="2">
        <f>F46/RoRE!G$8</f>
        <v>-1.570857586584222E-2</v>
      </c>
      <c r="G47" s="2">
        <f>G46/RoRE!H$8</f>
        <v>-1.981934821593662E-2</v>
      </c>
      <c r="H47" s="2">
        <f>H46/RoRE!I$8</f>
        <v>-2.628595830014499E-2</v>
      </c>
    </row>
    <row r="48" spans="1:8">
      <c r="C48" s="72"/>
    </row>
    <row r="49" spans="1:8">
      <c r="A49" s="65" t="s">
        <v>756</v>
      </c>
      <c r="B49" s="1" t="s">
        <v>10</v>
      </c>
      <c r="C49" s="1" t="s">
        <v>11</v>
      </c>
      <c r="D49" s="236" t="s">
        <v>5</v>
      </c>
      <c r="E49" s="236" t="s">
        <v>6</v>
      </c>
      <c r="F49" s="236" t="s">
        <v>7</v>
      </c>
      <c r="G49" s="236" t="s">
        <v>8</v>
      </c>
      <c r="H49" s="236" t="s">
        <v>9</v>
      </c>
    </row>
    <row r="50" spans="1:8">
      <c r="A50" s="232" t="s">
        <v>521</v>
      </c>
      <c r="B50" s="221" t="s">
        <v>12</v>
      </c>
      <c r="C50" s="1"/>
      <c r="D50" s="72">
        <v>0.2</v>
      </c>
      <c r="E50" s="74">
        <f>D50</f>
        <v>0.2</v>
      </c>
      <c r="F50" s="74">
        <f t="shared" ref="F50" si="25">E50</f>
        <v>0.2</v>
      </c>
      <c r="G50" s="74">
        <f t="shared" ref="G50" si="26">F50</f>
        <v>0.2</v>
      </c>
      <c r="H50" s="74">
        <f t="shared" ref="H50" si="27">G50</f>
        <v>0.2</v>
      </c>
    </row>
    <row r="51" spans="1:8">
      <c r="A51" s="285" t="s">
        <v>510</v>
      </c>
      <c r="B51" s="286" t="s">
        <v>40</v>
      </c>
      <c r="C51" s="285" t="s">
        <v>53</v>
      </c>
      <c r="D51" s="5">
        <f>D50*('Regulated revenue'!D21+RAB!S67+RAB!S120)*(1-'FD allowances'!$B$5)</f>
        <v>995.2361652583154</v>
      </c>
      <c r="E51" s="5">
        <f>E50*('Regulated revenue'!E21+RAB!T67+RAB!T120)*(1-'FD allowances'!$B$5)</f>
        <v>1005.6365692420383</v>
      </c>
      <c r="F51" s="5">
        <f>F50*('Regulated revenue'!F21+RAB!U67+RAB!U120)*(1-'FD allowances'!$B$5)</f>
        <v>896.81682272220576</v>
      </c>
      <c r="G51" s="5">
        <f>G50*('Regulated revenue'!G21+RAB!V67+RAB!V120)*(1-'FD allowances'!$B$5)</f>
        <v>906.20789214982472</v>
      </c>
      <c r="H51" s="5">
        <f>H50*('Regulated revenue'!H21+RAB!W67+RAB!W120)*(1-'FD allowances'!$B$5)</f>
        <v>820.67962691194646</v>
      </c>
    </row>
    <row r="52" spans="1:8">
      <c r="A52" s="285" t="s">
        <v>511</v>
      </c>
      <c r="B52" s="286" t="s">
        <v>40</v>
      </c>
      <c r="C52" s="285" t="s">
        <v>53</v>
      </c>
      <c r="D52" s="5">
        <f>D51*WACC!$B$10</f>
        <v>189.09487139907992</v>
      </c>
      <c r="E52" s="5">
        <f>E51*WACC!$B$10</f>
        <v>191.07094815598728</v>
      </c>
      <c r="F52" s="5">
        <f>F51*WACC!$B$10</f>
        <v>170.3951963172191</v>
      </c>
      <c r="G52" s="5">
        <f>G51*WACC!$B$10</f>
        <v>172.17949950846671</v>
      </c>
      <c r="H52" s="5">
        <f>H51*WACC!$B$10</f>
        <v>155.92912911326982</v>
      </c>
    </row>
    <row r="53" spans="1:8">
      <c r="A53" s="285" t="s">
        <v>512</v>
      </c>
      <c r="B53" s="286" t="s">
        <v>40</v>
      </c>
      <c r="C53" s="285" t="s">
        <v>53</v>
      </c>
      <c r="D53" s="5">
        <f>D51-D52</f>
        <v>806.14129385923547</v>
      </c>
      <c r="E53" s="5">
        <f t="shared" ref="E53:H53" si="28">E51-E52</f>
        <v>814.56562108605101</v>
      </c>
      <c r="F53" s="5">
        <f t="shared" si="28"/>
        <v>726.42162640498668</v>
      </c>
      <c r="G53" s="5">
        <f t="shared" si="28"/>
        <v>734.02839264135798</v>
      </c>
      <c r="H53" s="5">
        <f t="shared" si="28"/>
        <v>664.75049779867663</v>
      </c>
    </row>
    <row r="54" spans="1:8">
      <c r="A54" s="285" t="s">
        <v>513</v>
      </c>
      <c r="B54" s="286" t="s">
        <v>12</v>
      </c>
      <c r="D54" s="2">
        <f>D53/RoRE!E$8</f>
        <v>3.4898385089254531E-2</v>
      </c>
      <c r="E54" s="2">
        <f>E53/RoRE!F$8</f>
        <v>3.38838241442826E-2</v>
      </c>
      <c r="F54" s="2">
        <f>F53/RoRE!G$8</f>
        <v>3.141715173168444E-2</v>
      </c>
      <c r="G54" s="2">
        <f>G53/RoRE!H$8</f>
        <v>3.963869643187324E-2</v>
      </c>
      <c r="H54" s="2">
        <f>H53/RoRE!I$8</f>
        <v>5.2571916600289981E-2</v>
      </c>
    </row>
    <row r="55" spans="1:8">
      <c r="C55" s="72"/>
    </row>
    <row r="56" spans="1:8">
      <c r="A56" s="65" t="s">
        <v>755</v>
      </c>
      <c r="B56" s="1" t="s">
        <v>10</v>
      </c>
      <c r="C56" s="1" t="s">
        <v>11</v>
      </c>
      <c r="D56" s="236" t="s">
        <v>5</v>
      </c>
      <c r="E56" s="236" t="s">
        <v>6</v>
      </c>
      <c r="F56" s="236" t="s">
        <v>7</v>
      </c>
      <c r="G56" s="236" t="s">
        <v>8</v>
      </c>
      <c r="H56" s="236" t="s">
        <v>9</v>
      </c>
    </row>
    <row r="57" spans="1:8">
      <c r="A57" s="232" t="s">
        <v>521</v>
      </c>
      <c r="B57" s="221" t="s">
        <v>12</v>
      </c>
      <c r="C57" s="1"/>
      <c r="D57" s="72">
        <v>0.1</v>
      </c>
      <c r="E57" s="74">
        <f>D57</f>
        <v>0.1</v>
      </c>
      <c r="F57" s="74">
        <f t="shared" ref="F57" si="29">E57</f>
        <v>0.1</v>
      </c>
      <c r="G57" s="74">
        <f t="shared" ref="G57" si="30">F57</f>
        <v>0.1</v>
      </c>
      <c r="H57" s="74">
        <f t="shared" ref="H57" si="31">G57</f>
        <v>0.1</v>
      </c>
    </row>
    <row r="58" spans="1:8">
      <c r="A58" s="285" t="s">
        <v>510</v>
      </c>
      <c r="B58" s="286" t="s">
        <v>40</v>
      </c>
      <c r="C58" s="285" t="s">
        <v>53</v>
      </c>
      <c r="D58" s="5">
        <f>D57*('Regulated revenue'!D21+RAB!S67+RAB!S120)*(1-'FD allowances'!$B$5)</f>
        <v>497.6180826291577</v>
      </c>
      <c r="E58" s="5">
        <f>E57*('Regulated revenue'!E21+RAB!T67+RAB!T120)*(1-'FD allowances'!$B$5)</f>
        <v>502.81828462101913</v>
      </c>
      <c r="F58" s="5">
        <f>F57*('Regulated revenue'!F21+RAB!U67+RAB!U120)*(1-'FD allowances'!$B$5)</f>
        <v>448.40841136110288</v>
      </c>
      <c r="G58" s="5">
        <f>G57*('Regulated revenue'!G21+RAB!V67+RAB!V120)*(1-'FD allowances'!$B$5)</f>
        <v>453.10394607491236</v>
      </c>
      <c r="H58" s="5">
        <f>H57*('Regulated revenue'!H21+RAB!W67+RAB!W120)*(1-'FD allowances'!$B$5)</f>
        <v>410.33981345597323</v>
      </c>
    </row>
    <row r="59" spans="1:8">
      <c r="A59" s="285" t="s">
        <v>511</v>
      </c>
      <c r="B59" s="286" t="s">
        <v>40</v>
      </c>
      <c r="C59" s="285" t="s">
        <v>53</v>
      </c>
      <c r="D59" s="5">
        <f>D58*WACC!$B$10</f>
        <v>94.54743569953996</v>
      </c>
      <c r="E59" s="5">
        <f>E58*WACC!$B$10</f>
        <v>95.535474077993641</v>
      </c>
      <c r="F59" s="5">
        <f>F58*WACC!$B$10</f>
        <v>85.197598158609551</v>
      </c>
      <c r="G59" s="5">
        <f>G58*WACC!$B$10</f>
        <v>86.089749754233353</v>
      </c>
      <c r="H59" s="5">
        <f>H58*WACC!$B$10</f>
        <v>77.964564556634912</v>
      </c>
    </row>
    <row r="60" spans="1:8">
      <c r="A60" s="285" t="s">
        <v>512</v>
      </c>
      <c r="B60" s="286" t="s">
        <v>40</v>
      </c>
      <c r="C60" s="285" t="s">
        <v>53</v>
      </c>
      <c r="D60" s="5">
        <f>D58-D59</f>
        <v>403.07064692961774</v>
      </c>
      <c r="E60" s="5">
        <f t="shared" ref="E60:H60" si="32">E58-E59</f>
        <v>407.28281054302551</v>
      </c>
      <c r="F60" s="5">
        <f t="shared" si="32"/>
        <v>363.21081320249334</v>
      </c>
      <c r="G60" s="5">
        <f t="shared" si="32"/>
        <v>367.01419632067899</v>
      </c>
      <c r="H60" s="5">
        <f t="shared" si="32"/>
        <v>332.37524889933832</v>
      </c>
    </row>
    <row r="61" spans="1:8">
      <c r="A61" s="285" t="s">
        <v>513</v>
      </c>
      <c r="B61" s="286" t="s">
        <v>12</v>
      </c>
      <c r="D61" s="2">
        <f>D60/RoRE!E$8</f>
        <v>1.7449192544627266E-2</v>
      </c>
      <c r="E61" s="2">
        <f>E60/RoRE!F$8</f>
        <v>1.69419120721413E-2</v>
      </c>
      <c r="F61" s="2">
        <f>F60/RoRE!G$8</f>
        <v>1.570857586584222E-2</v>
      </c>
      <c r="G61" s="2">
        <f>G60/RoRE!H$8</f>
        <v>1.981934821593662E-2</v>
      </c>
      <c r="H61" s="2">
        <f>H60/RoRE!I$8</f>
        <v>2.628595830014499E-2</v>
      </c>
    </row>
    <row r="62" spans="1:8">
      <c r="B62" s="286"/>
      <c r="D62" s="2"/>
      <c r="E62" s="2"/>
      <c r="F62" s="2"/>
      <c r="G62" s="2"/>
      <c r="H62" s="2"/>
    </row>
    <row r="63" spans="1:8" ht="18">
      <c r="A63" s="256" t="s">
        <v>776</v>
      </c>
    </row>
    <row r="64" spans="1:8">
      <c r="D64" s="5"/>
      <c r="E64" s="5"/>
      <c r="F64" s="5"/>
      <c r="G64" s="5"/>
      <c r="H64" s="5"/>
    </row>
    <row r="65" spans="1:10">
      <c r="A65" s="65" t="s">
        <v>777</v>
      </c>
      <c r="B65" s="1" t="s">
        <v>10</v>
      </c>
      <c r="C65" s="1" t="s">
        <v>11</v>
      </c>
      <c r="D65" s="236" t="s">
        <v>5</v>
      </c>
      <c r="E65" s="236" t="s">
        <v>6</v>
      </c>
      <c r="F65" s="236" t="s">
        <v>7</v>
      </c>
      <c r="G65" s="236" t="s">
        <v>8</v>
      </c>
      <c r="H65" s="236" t="s">
        <v>9</v>
      </c>
    </row>
    <row r="66" spans="1:10">
      <c r="A66" s="232" t="s">
        <v>522</v>
      </c>
      <c r="B66" s="286" t="s">
        <v>40</v>
      </c>
      <c r="C66" s="285" t="s">
        <v>52</v>
      </c>
      <c r="D66" s="5">
        <v>-750</v>
      </c>
      <c r="E66" s="5">
        <v>-750</v>
      </c>
      <c r="F66" s="5">
        <v>-750</v>
      </c>
      <c r="G66" s="5">
        <v>-750</v>
      </c>
      <c r="H66" s="5">
        <v>-750</v>
      </c>
    </row>
    <row r="67" spans="1:10">
      <c r="A67" s="285" t="s">
        <v>510</v>
      </c>
      <c r="B67" s="286" t="s">
        <v>40</v>
      </c>
      <c r="C67" s="285" t="s">
        <v>53</v>
      </c>
      <c r="D67" s="5">
        <f>D66/'FD forecasts'!D$76</f>
        <v>-728.52345358032721</v>
      </c>
      <c r="E67" s="5">
        <f>E66/'FD forecasts'!E$76</f>
        <v>-714.23867998071296</v>
      </c>
      <c r="F67" s="5">
        <f>F66/'FD forecasts'!F$76</f>
        <v>-700.23399998109107</v>
      </c>
      <c r="G67" s="5">
        <f>G66/'FD forecasts'!G$76</f>
        <v>-686.50392155008922</v>
      </c>
      <c r="H67" s="5">
        <f>H66/'FD forecasts'!H$76</f>
        <v>-673.04306034322485</v>
      </c>
    </row>
    <row r="68" spans="1:10">
      <c r="A68" s="285" t="s">
        <v>511</v>
      </c>
      <c r="B68" s="286" t="s">
        <v>40</v>
      </c>
      <c r="C68" s="285" t="s">
        <v>53</v>
      </c>
      <c r="D68" s="5">
        <f>D67*WACC!$B$10</f>
        <v>-138.41945618026216</v>
      </c>
      <c r="E68" s="5">
        <f>E67*WACC!$B$10</f>
        <v>-135.70534919633548</v>
      </c>
      <c r="F68" s="5">
        <f>F67*WACC!$B$10</f>
        <v>-133.04445999640731</v>
      </c>
      <c r="G68" s="5">
        <f>G67*WACC!$B$10</f>
        <v>-130.43574509451696</v>
      </c>
      <c r="H68" s="5">
        <f>H67*WACC!$B$10</f>
        <v>-127.87818146521272</v>
      </c>
    </row>
    <row r="69" spans="1:10">
      <c r="A69" s="285" t="s">
        <v>512</v>
      </c>
      <c r="B69" s="286" t="s">
        <v>40</v>
      </c>
      <c r="C69" s="285" t="s">
        <v>53</v>
      </c>
      <c r="D69" s="5">
        <f>D67-D68</f>
        <v>-590.10399740006505</v>
      </c>
      <c r="E69" s="5">
        <f t="shared" ref="E69" si="33">E67-E68</f>
        <v>-578.53333078437754</v>
      </c>
      <c r="F69" s="5">
        <f t="shared" ref="F69" si="34">F67-F68</f>
        <v>-567.18953998468373</v>
      </c>
      <c r="G69" s="5">
        <f t="shared" ref="G69" si="35">G67-G68</f>
        <v>-556.06817645557226</v>
      </c>
      <c r="H69" s="5">
        <f t="shared" ref="H69" si="36">H67-H68</f>
        <v>-545.16487887801213</v>
      </c>
    </row>
    <row r="70" spans="1:10">
      <c r="A70" s="285" t="s">
        <v>513</v>
      </c>
      <c r="B70" s="286" t="s">
        <v>12</v>
      </c>
      <c r="D70" s="2">
        <f>D69/RoRE!E$8</f>
        <v>-2.5545988899027785E-2</v>
      </c>
      <c r="E70" s="2">
        <f>E69/RoRE!F$8</f>
        <v>-2.4065491023016135E-2</v>
      </c>
      <c r="F70" s="2">
        <f>F69/RoRE!G$8</f>
        <v>-2.4530491921765259E-2</v>
      </c>
      <c r="G70" s="2">
        <f>G69/RoRE!H$8</f>
        <v>-3.0028562740783867E-2</v>
      </c>
      <c r="H70" s="2">
        <f>H69/RoRE!I$8</f>
        <v>-4.3114465714115181E-2</v>
      </c>
    </row>
    <row r="71" spans="1:10">
      <c r="D71" s="5"/>
      <c r="E71" s="5"/>
      <c r="F71" s="5"/>
      <c r="G71" s="5"/>
      <c r="H71" s="5"/>
    </row>
    <row r="72" spans="1:10">
      <c r="A72" s="65" t="s">
        <v>514</v>
      </c>
      <c r="B72" s="1" t="s">
        <v>10</v>
      </c>
      <c r="C72" s="1" t="s">
        <v>11</v>
      </c>
      <c r="D72" s="236" t="s">
        <v>5</v>
      </c>
      <c r="E72" s="236" t="s">
        <v>6</v>
      </c>
      <c r="F72" s="236" t="s">
        <v>7</v>
      </c>
      <c r="G72" s="236" t="s">
        <v>8</v>
      </c>
      <c r="H72" s="236" t="s">
        <v>9</v>
      </c>
    </row>
    <row r="73" spans="1:10">
      <c r="A73" s="232" t="s">
        <v>522</v>
      </c>
      <c r="B73" s="286" t="s">
        <v>40</v>
      </c>
      <c r="C73" s="285" t="s">
        <v>52</v>
      </c>
      <c r="D73" s="318">
        <v>-500</v>
      </c>
      <c r="E73" s="318">
        <v>-500</v>
      </c>
      <c r="F73" s="318">
        <v>-500</v>
      </c>
      <c r="G73" s="318">
        <v>-500</v>
      </c>
      <c r="H73" s="318">
        <v>-500</v>
      </c>
    </row>
    <row r="74" spans="1:10">
      <c r="A74" s="285" t="s">
        <v>510</v>
      </c>
      <c r="B74" s="286" t="s">
        <v>40</v>
      </c>
      <c r="C74" s="285" t="s">
        <v>53</v>
      </c>
      <c r="D74" s="5">
        <f>D73/'FD forecasts'!D$76</f>
        <v>-485.68230238688477</v>
      </c>
      <c r="E74" s="5">
        <f>E73/'FD forecasts'!E$76</f>
        <v>-476.15911998714199</v>
      </c>
      <c r="F74" s="5">
        <f>F73/'FD forecasts'!F$76</f>
        <v>-466.82266665406075</v>
      </c>
      <c r="G74" s="5">
        <f>G73/'FD forecasts'!G$76</f>
        <v>-457.66928103339285</v>
      </c>
      <c r="H74" s="5">
        <f>H73/'FD forecasts'!H$76</f>
        <v>-448.69537356214988</v>
      </c>
    </row>
    <row r="75" spans="1:10">
      <c r="A75" s="285" t="s">
        <v>511</v>
      </c>
      <c r="B75" s="286" t="s">
        <v>40</v>
      </c>
      <c r="C75" s="285" t="s">
        <v>53</v>
      </c>
      <c r="D75" s="5">
        <f>D74*WACC!$B$10</f>
        <v>-92.279637453508101</v>
      </c>
      <c r="E75" s="5">
        <f>E74*WACC!$B$10</f>
        <v>-90.470232797556974</v>
      </c>
      <c r="F75" s="5">
        <f>F74*WACC!$B$10</f>
        <v>-88.696306664271546</v>
      </c>
      <c r="G75" s="5">
        <f>G74*WACC!$B$10</f>
        <v>-86.95716339634464</v>
      </c>
      <c r="H75" s="5">
        <f>H74*WACC!$B$10</f>
        <v>-85.252120976808484</v>
      </c>
    </row>
    <row r="76" spans="1:10">
      <c r="A76" s="285" t="s">
        <v>512</v>
      </c>
      <c r="B76" s="286" t="s">
        <v>40</v>
      </c>
      <c r="C76" s="285" t="s">
        <v>53</v>
      </c>
      <c r="D76" s="5">
        <f>D74-D75</f>
        <v>-393.40266493337668</v>
      </c>
      <c r="E76" s="5">
        <f t="shared" ref="E76" si="37">E74-E75</f>
        <v>-385.68888718958499</v>
      </c>
      <c r="F76" s="5">
        <f t="shared" ref="F76" si="38">F74-F75</f>
        <v>-378.12635998978919</v>
      </c>
      <c r="G76" s="5">
        <f t="shared" ref="G76" si="39">G74-G75</f>
        <v>-370.71211763704821</v>
      </c>
      <c r="H76" s="5">
        <f t="shared" ref="H76" si="40">H74-H75</f>
        <v>-363.44325258534138</v>
      </c>
    </row>
    <row r="77" spans="1:10">
      <c r="A77" s="285" t="s">
        <v>513</v>
      </c>
      <c r="B77" s="286" t="s">
        <v>12</v>
      </c>
      <c r="D77" s="2">
        <f>D76/RoRE!E$8</f>
        <v>-1.7030659266018523E-2</v>
      </c>
      <c r="E77" s="2">
        <f>E76/RoRE!F$8</f>
        <v>-1.6043660682010758E-2</v>
      </c>
      <c r="F77" s="2">
        <f>F76/RoRE!G$8</f>
        <v>-1.6353661281176841E-2</v>
      </c>
      <c r="G77" s="2">
        <f>G76/RoRE!H$8</f>
        <v>-2.0019041827189245E-2</v>
      </c>
      <c r="H77" s="2">
        <f>H76/RoRE!I$8</f>
        <v>-2.8742977142743448E-2</v>
      </c>
      <c r="J77" s="73"/>
    </row>
    <row r="78" spans="1:10">
      <c r="D78" s="5"/>
      <c r="E78" s="5"/>
      <c r="F78" s="5"/>
      <c r="G78" s="5"/>
      <c r="H78" s="5"/>
      <c r="J78" s="73"/>
    </row>
    <row r="79" spans="1:10">
      <c r="A79" s="65" t="s">
        <v>762</v>
      </c>
      <c r="B79" s="1" t="s">
        <v>10</v>
      </c>
      <c r="C79" s="1" t="s">
        <v>11</v>
      </c>
      <c r="D79" s="236" t="s">
        <v>5</v>
      </c>
      <c r="E79" s="236" t="s">
        <v>6</v>
      </c>
      <c r="F79" s="236" t="s">
        <v>7</v>
      </c>
      <c r="G79" s="236" t="s">
        <v>8</v>
      </c>
      <c r="H79" s="236" t="s">
        <v>9</v>
      </c>
    </row>
    <row r="80" spans="1:10">
      <c r="A80" s="232" t="s">
        <v>522</v>
      </c>
      <c r="B80" s="286" t="s">
        <v>40</v>
      </c>
      <c r="C80" s="285" t="s">
        <v>52</v>
      </c>
      <c r="D80" s="5">
        <v>1250</v>
      </c>
      <c r="E80" s="5">
        <v>1250</v>
      </c>
      <c r="F80" s="5">
        <v>1250</v>
      </c>
      <c r="G80" s="5">
        <v>1250</v>
      </c>
      <c r="H80" s="5">
        <v>1250</v>
      </c>
    </row>
    <row r="81" spans="1:8">
      <c r="A81" s="285" t="s">
        <v>510</v>
      </c>
      <c r="B81" s="286" t="s">
        <v>40</v>
      </c>
      <c r="C81" s="285" t="s">
        <v>53</v>
      </c>
      <c r="D81" s="5">
        <f>D80/'FD forecasts'!D$76</f>
        <v>1214.2057559672121</v>
      </c>
      <c r="E81" s="5">
        <f>E80/'FD forecasts'!E$76</f>
        <v>1190.397799967855</v>
      </c>
      <c r="F81" s="5">
        <f>F80/'FD forecasts'!F$76</f>
        <v>1167.0566666351519</v>
      </c>
      <c r="G81" s="5">
        <f>G80/'FD forecasts'!G$76</f>
        <v>1144.1732025834822</v>
      </c>
      <c r="H81" s="5">
        <f>H80/'FD forecasts'!H$76</f>
        <v>1121.7384339053747</v>
      </c>
    </row>
    <row r="82" spans="1:8">
      <c r="A82" s="285" t="s">
        <v>511</v>
      </c>
      <c r="B82" s="286" t="s">
        <v>40</v>
      </c>
      <c r="C82" s="285" t="s">
        <v>53</v>
      </c>
      <c r="D82" s="5">
        <f>D81*WACC!$B$10</f>
        <v>230.6990936337703</v>
      </c>
      <c r="E82" s="5">
        <f>E81*WACC!$B$10</f>
        <v>226.17558199389245</v>
      </c>
      <c r="F82" s="5">
        <f>F81*WACC!$B$10</f>
        <v>221.74076666067887</v>
      </c>
      <c r="G82" s="5">
        <f>G81*WACC!$B$10</f>
        <v>217.39290849086163</v>
      </c>
      <c r="H82" s="5">
        <f>H81*WACC!$B$10</f>
        <v>213.13030244202119</v>
      </c>
    </row>
    <row r="83" spans="1:8">
      <c r="A83" s="285" t="s">
        <v>512</v>
      </c>
      <c r="B83" s="286" t="s">
        <v>40</v>
      </c>
      <c r="C83" s="285" t="s">
        <v>53</v>
      </c>
      <c r="D83" s="5">
        <f>D81-D82</f>
        <v>983.5066623334418</v>
      </c>
      <c r="E83" s="5">
        <f t="shared" ref="E83" si="41">E81-E82</f>
        <v>964.22221797396253</v>
      </c>
      <c r="F83" s="5">
        <f t="shared" ref="F83" si="42">F81-F82</f>
        <v>945.31589997447304</v>
      </c>
      <c r="G83" s="5">
        <f t="shared" ref="G83" si="43">G81-G82</f>
        <v>926.78029409262058</v>
      </c>
      <c r="H83" s="5">
        <f t="shared" ref="H83" si="44">H81-H82</f>
        <v>908.60813146335352</v>
      </c>
    </row>
    <row r="84" spans="1:8">
      <c r="A84" s="285" t="s">
        <v>513</v>
      </c>
      <c r="B84" s="286" t="s">
        <v>12</v>
      </c>
      <c r="D84" s="2">
        <f>D83/RoRE!E$8</f>
        <v>4.2576648165046312E-2</v>
      </c>
      <c r="E84" s="2">
        <f>E83/RoRE!F$8</f>
        <v>4.0109151705026894E-2</v>
      </c>
      <c r="F84" s="2">
        <f>F83/RoRE!G$8</f>
        <v>4.0884153202942107E-2</v>
      </c>
      <c r="G84" s="2">
        <f>G83/RoRE!H$8</f>
        <v>5.0047604567973115E-2</v>
      </c>
      <c r="H84" s="2">
        <f>H83/RoRE!I$8</f>
        <v>7.1857442856858633E-2</v>
      </c>
    </row>
    <row r="85" spans="1:8">
      <c r="D85" s="5"/>
      <c r="E85" s="5"/>
      <c r="F85" s="5"/>
      <c r="G85" s="5"/>
      <c r="H85" s="5"/>
    </row>
    <row r="86" spans="1:8">
      <c r="A86" s="65" t="s">
        <v>515</v>
      </c>
      <c r="B86" s="1" t="s">
        <v>10</v>
      </c>
      <c r="C86" s="1" t="s">
        <v>11</v>
      </c>
      <c r="D86" s="236" t="s">
        <v>5</v>
      </c>
      <c r="E86" s="236" t="s">
        <v>6</v>
      </c>
      <c r="F86" s="236" t="s">
        <v>7</v>
      </c>
      <c r="G86" s="236" t="s">
        <v>8</v>
      </c>
      <c r="H86" s="236" t="s">
        <v>9</v>
      </c>
    </row>
    <row r="87" spans="1:8">
      <c r="A87" s="232" t="s">
        <v>522</v>
      </c>
      <c r="B87" s="286" t="s">
        <v>40</v>
      </c>
      <c r="C87" s="285" t="s">
        <v>52</v>
      </c>
      <c r="D87" s="318">
        <v>500</v>
      </c>
      <c r="E87" s="318">
        <v>500</v>
      </c>
      <c r="F87" s="318">
        <v>500</v>
      </c>
      <c r="G87" s="318">
        <v>500</v>
      </c>
      <c r="H87" s="318">
        <v>500</v>
      </c>
    </row>
    <row r="88" spans="1:8">
      <c r="A88" s="285" t="s">
        <v>510</v>
      </c>
      <c r="B88" s="286" t="s">
        <v>40</v>
      </c>
      <c r="C88" s="285" t="s">
        <v>53</v>
      </c>
      <c r="D88" s="5">
        <f>D87/'FD forecasts'!D$76</f>
        <v>485.68230238688477</v>
      </c>
      <c r="E88" s="5">
        <f>E87/'FD forecasts'!E$76</f>
        <v>476.15911998714199</v>
      </c>
      <c r="F88" s="5">
        <f>F87/'FD forecasts'!F$76</f>
        <v>466.82266665406075</v>
      </c>
      <c r="G88" s="5">
        <f>G87/'FD forecasts'!G$76</f>
        <v>457.66928103339285</v>
      </c>
      <c r="H88" s="5">
        <f>H87/'FD forecasts'!H$76</f>
        <v>448.69537356214988</v>
      </c>
    </row>
    <row r="89" spans="1:8">
      <c r="A89" s="285" t="s">
        <v>511</v>
      </c>
      <c r="B89" s="286" t="s">
        <v>40</v>
      </c>
      <c r="C89" s="285" t="s">
        <v>53</v>
      </c>
      <c r="D89" s="5">
        <f>D88*WACC!$B$10</f>
        <v>92.279637453508101</v>
      </c>
      <c r="E89" s="5">
        <f>E88*WACC!$B$10</f>
        <v>90.470232797556974</v>
      </c>
      <c r="F89" s="5">
        <f>F88*WACC!$B$10</f>
        <v>88.696306664271546</v>
      </c>
      <c r="G89" s="5">
        <f>G88*WACC!$B$10</f>
        <v>86.95716339634464</v>
      </c>
      <c r="H89" s="5">
        <f>H88*WACC!$B$10</f>
        <v>85.252120976808484</v>
      </c>
    </row>
    <row r="90" spans="1:8">
      <c r="A90" s="285" t="s">
        <v>512</v>
      </c>
      <c r="B90" s="286" t="s">
        <v>40</v>
      </c>
      <c r="C90" s="285" t="s">
        <v>53</v>
      </c>
      <c r="D90" s="5">
        <f>D88-D89</f>
        <v>393.40266493337668</v>
      </c>
      <c r="E90" s="5">
        <f t="shared" ref="E90" si="45">E88-E89</f>
        <v>385.68888718958499</v>
      </c>
      <c r="F90" s="5">
        <f t="shared" ref="F90" si="46">F88-F89</f>
        <v>378.12635998978919</v>
      </c>
      <c r="G90" s="5">
        <f t="shared" ref="G90" si="47">G88-G89</f>
        <v>370.71211763704821</v>
      </c>
      <c r="H90" s="5">
        <f t="shared" ref="H90" si="48">H88-H89</f>
        <v>363.44325258534138</v>
      </c>
    </row>
    <row r="91" spans="1:8">
      <c r="A91" s="285" t="s">
        <v>513</v>
      </c>
      <c r="B91" s="286" t="s">
        <v>12</v>
      </c>
      <c r="D91" s="2">
        <f>D90/RoRE!E$8</f>
        <v>1.7030659266018523E-2</v>
      </c>
      <c r="E91" s="2">
        <f>E90/RoRE!F$8</f>
        <v>1.6043660682010758E-2</v>
      </c>
      <c r="F91" s="2">
        <f>F90/RoRE!G$8</f>
        <v>1.6353661281176841E-2</v>
      </c>
      <c r="G91" s="2">
        <f>G90/RoRE!H$8</f>
        <v>2.0019041827189245E-2</v>
      </c>
      <c r="H91" s="2">
        <f>H90/RoRE!I$8</f>
        <v>2.8742977142743448E-2</v>
      </c>
    </row>
    <row r="93" spans="1:8" ht="18">
      <c r="A93" s="256" t="s">
        <v>520</v>
      </c>
    </row>
    <row r="95" spans="1:8">
      <c r="A95" s="65" t="s">
        <v>523</v>
      </c>
      <c r="B95" s="1" t="s">
        <v>10</v>
      </c>
      <c r="C95" s="1" t="s">
        <v>11</v>
      </c>
      <c r="D95" s="236" t="s">
        <v>5</v>
      </c>
      <c r="E95" s="236" t="s">
        <v>6</v>
      </c>
      <c r="F95" s="236" t="s">
        <v>7</v>
      </c>
      <c r="G95" s="236" t="s">
        <v>8</v>
      </c>
      <c r="H95" s="236" t="s">
        <v>9</v>
      </c>
    </row>
    <row r="96" spans="1:8">
      <c r="A96" s="232" t="s">
        <v>527</v>
      </c>
      <c r="B96" s="286" t="s">
        <v>12</v>
      </c>
      <c r="D96" s="319">
        <v>0.02</v>
      </c>
      <c r="E96" s="319">
        <v>0.02</v>
      </c>
      <c r="F96" s="319">
        <v>0.02</v>
      </c>
      <c r="G96" s="319">
        <v>0.02</v>
      </c>
      <c r="H96" s="319">
        <v>0.02</v>
      </c>
    </row>
    <row r="97" spans="1:8">
      <c r="A97" s="285" t="s">
        <v>510</v>
      </c>
      <c r="B97" s="286" t="s">
        <v>40</v>
      </c>
      <c r="C97" s="285" t="s">
        <v>53</v>
      </c>
      <c r="D97" s="5">
        <f>-D96*Return!D$10*WACC!$B$4</f>
        <v>-307.99564384712363</v>
      </c>
      <c r="E97" s="5">
        <f>-E96*Return!E$10*WACC!$B$4</f>
        <v>-320.53273861789381</v>
      </c>
      <c r="F97" s="5">
        <f>-F96*Return!F$10*WACC!$B$4</f>
        <v>-308.29089053390538</v>
      </c>
      <c r="G97" s="5">
        <f>-G96*Return!G$10*WACC!$B$4</f>
        <v>-246.90633437048152</v>
      </c>
      <c r="H97" s="5">
        <f>-H96*Return!H$10*WACC!$B$4</f>
        <v>-168.59457565600974</v>
      </c>
    </row>
    <row r="98" spans="1:8">
      <c r="A98" s="285" t="s">
        <v>511</v>
      </c>
      <c r="B98" s="286" t="s">
        <v>40</v>
      </c>
      <c r="C98" s="285" t="s">
        <v>53</v>
      </c>
      <c r="D98" s="5">
        <f>D97*WACC!$B$10</f>
        <v>-58.519172330953488</v>
      </c>
      <c r="E98" s="5">
        <f>E97*WACC!$B$10</f>
        <v>-60.901220337399828</v>
      </c>
      <c r="F98" s="5">
        <f>F97*WACC!$B$10</f>
        <v>-58.575269201442026</v>
      </c>
      <c r="G98" s="5">
        <f>G97*WACC!$B$10</f>
        <v>-46.912203530391487</v>
      </c>
      <c r="H98" s="5">
        <f>H97*WACC!$B$10</f>
        <v>-32.032969374641851</v>
      </c>
    </row>
    <row r="99" spans="1:8">
      <c r="A99" s="285" t="s">
        <v>512</v>
      </c>
      <c r="B99" s="286" t="s">
        <v>40</v>
      </c>
      <c r="C99" s="285" t="s">
        <v>53</v>
      </c>
      <c r="D99" s="5">
        <f>D97-D98</f>
        <v>-249.47647151617014</v>
      </c>
      <c r="E99" s="5">
        <f t="shared" ref="E99" si="49">E97-E98</f>
        <v>-259.63151828049399</v>
      </c>
      <c r="F99" s="5">
        <f t="shared" ref="F99" si="50">F97-F98</f>
        <v>-249.71562133246334</v>
      </c>
      <c r="G99" s="5">
        <f t="shared" ref="G99" si="51">G97-G98</f>
        <v>-199.99413084009004</v>
      </c>
      <c r="H99" s="5">
        <f t="shared" ref="H99" si="52">H97-H98</f>
        <v>-136.56160628136789</v>
      </c>
    </row>
    <row r="100" spans="1:8">
      <c r="A100" s="285" t="s">
        <v>513</v>
      </c>
      <c r="B100" s="286" t="s">
        <v>12</v>
      </c>
      <c r="D100" s="2">
        <f>D99/RoRE!E$8</f>
        <v>-1.0800000000000002E-2</v>
      </c>
      <c r="E100" s="2">
        <f>E99/RoRE!F$8</f>
        <v>-1.0800000000000002E-2</v>
      </c>
      <c r="F100" s="2">
        <f>F99/RoRE!G$8</f>
        <v>-1.0800000000000001E-2</v>
      </c>
      <c r="G100" s="2">
        <f>G99/RoRE!H$8</f>
        <v>-1.0800000000000002E-2</v>
      </c>
      <c r="H100" s="2">
        <f>H99/RoRE!I$8</f>
        <v>-1.0800000000000001E-2</v>
      </c>
    </row>
    <row r="101" spans="1:8">
      <c r="D101" s="5"/>
      <c r="E101" s="5"/>
      <c r="F101" s="5"/>
      <c r="G101" s="5"/>
      <c r="H101" s="5"/>
    </row>
    <row r="102" spans="1:8">
      <c r="A102" s="65" t="s">
        <v>524</v>
      </c>
      <c r="B102" s="1" t="s">
        <v>10</v>
      </c>
      <c r="C102" s="1" t="s">
        <v>11</v>
      </c>
      <c r="D102" s="236" t="s">
        <v>5</v>
      </c>
      <c r="E102" s="236" t="s">
        <v>6</v>
      </c>
      <c r="F102" s="236" t="s">
        <v>7</v>
      </c>
      <c r="G102" s="236" t="s">
        <v>8</v>
      </c>
      <c r="H102" s="236" t="s">
        <v>9</v>
      </c>
    </row>
    <row r="103" spans="1:8">
      <c r="A103" s="232" t="s">
        <v>527</v>
      </c>
      <c r="B103" s="286" t="s">
        <v>12</v>
      </c>
      <c r="D103" s="319">
        <v>0.01</v>
      </c>
      <c r="E103" s="319">
        <v>0.01</v>
      </c>
      <c r="F103" s="319">
        <v>0.01</v>
      </c>
      <c r="G103" s="319">
        <v>0.01</v>
      </c>
      <c r="H103" s="319">
        <v>0.01</v>
      </c>
    </row>
    <row r="104" spans="1:8">
      <c r="A104" s="285" t="s">
        <v>510</v>
      </c>
      <c r="B104" s="286" t="s">
        <v>40</v>
      </c>
      <c r="C104" s="285" t="s">
        <v>53</v>
      </c>
      <c r="D104" s="5">
        <f>-D103*Return!D$10*WACC!$B$4</f>
        <v>-153.99782192356182</v>
      </c>
      <c r="E104" s="5">
        <f>-E103*Return!E$10*WACC!$B$4</f>
        <v>-160.26636930894691</v>
      </c>
      <c r="F104" s="5">
        <f>-F103*Return!F$10*WACC!$B$4</f>
        <v>-154.14544526695269</v>
      </c>
      <c r="G104" s="5">
        <f>-G103*Return!G$10*WACC!$B$4</f>
        <v>-123.45316718524076</v>
      </c>
      <c r="H104" s="5">
        <f>-H103*Return!H$10*WACC!$B$4</f>
        <v>-84.297287828004869</v>
      </c>
    </row>
    <row r="105" spans="1:8">
      <c r="A105" s="285" t="s">
        <v>511</v>
      </c>
      <c r="B105" s="286" t="s">
        <v>40</v>
      </c>
      <c r="C105" s="285" t="s">
        <v>53</v>
      </c>
      <c r="D105" s="5">
        <f>D104*WACC!$B$10</f>
        <v>-29.259586165476744</v>
      </c>
      <c r="E105" s="5">
        <f>E104*WACC!$B$10</f>
        <v>-30.450610168699914</v>
      </c>
      <c r="F105" s="5">
        <f>F104*WACC!$B$10</f>
        <v>-29.287634600721013</v>
      </c>
      <c r="G105" s="5">
        <f>G104*WACC!$B$10</f>
        <v>-23.456101765195744</v>
      </c>
      <c r="H105" s="5">
        <f>H104*WACC!$B$10</f>
        <v>-16.016484687320926</v>
      </c>
    </row>
    <row r="106" spans="1:8">
      <c r="A106" s="285" t="s">
        <v>512</v>
      </c>
      <c r="B106" s="286" t="s">
        <v>40</v>
      </c>
      <c r="C106" s="285" t="s">
        <v>53</v>
      </c>
      <c r="D106" s="5">
        <f>D104-D105</f>
        <v>-124.73823575808507</v>
      </c>
      <c r="E106" s="5">
        <f t="shared" ref="E106" si="53">E104-E105</f>
        <v>-129.815759140247</v>
      </c>
      <c r="F106" s="5">
        <f t="shared" ref="F106" si="54">F104-F105</f>
        <v>-124.85781066623167</v>
      </c>
      <c r="G106" s="5">
        <f t="shared" ref="G106" si="55">G104-G105</f>
        <v>-99.997065420045018</v>
      </c>
      <c r="H106" s="5">
        <f t="shared" ref="H106" si="56">H104-H105</f>
        <v>-68.280803140683943</v>
      </c>
    </row>
    <row r="107" spans="1:8">
      <c r="A107" s="285" t="s">
        <v>513</v>
      </c>
      <c r="B107" s="286" t="s">
        <v>12</v>
      </c>
      <c r="D107" s="2">
        <f>D106/RoRE!E$8</f>
        <v>-5.4000000000000012E-3</v>
      </c>
      <c r="E107" s="2">
        <f>E106/RoRE!F$8</f>
        <v>-5.4000000000000012E-3</v>
      </c>
      <c r="F107" s="2">
        <f>F106/RoRE!G$8</f>
        <v>-5.4000000000000003E-3</v>
      </c>
      <c r="G107" s="2">
        <f>G106/RoRE!H$8</f>
        <v>-5.4000000000000012E-3</v>
      </c>
      <c r="H107" s="2">
        <f>H106/RoRE!I$8</f>
        <v>-5.4000000000000003E-3</v>
      </c>
    </row>
    <row r="108" spans="1:8">
      <c r="D108" s="5"/>
      <c r="E108" s="5"/>
      <c r="F108" s="5"/>
      <c r="G108" s="5"/>
      <c r="H108" s="5"/>
    </row>
    <row r="109" spans="1:8">
      <c r="A109" s="65" t="s">
        <v>525</v>
      </c>
      <c r="B109" s="1" t="s">
        <v>10</v>
      </c>
      <c r="C109" s="1" t="s">
        <v>11</v>
      </c>
      <c r="D109" s="236" t="s">
        <v>5</v>
      </c>
      <c r="E109" s="236" t="s">
        <v>6</v>
      </c>
      <c r="F109" s="236" t="s">
        <v>7</v>
      </c>
      <c r="G109" s="236" t="s">
        <v>8</v>
      </c>
      <c r="H109" s="236" t="s">
        <v>9</v>
      </c>
    </row>
    <row r="110" spans="1:8">
      <c r="A110" s="232" t="s">
        <v>527</v>
      </c>
      <c r="B110" s="286" t="s">
        <v>12</v>
      </c>
      <c r="D110" s="319">
        <v>-0.02</v>
      </c>
      <c r="E110" s="319">
        <v>-0.02</v>
      </c>
      <c r="F110" s="319">
        <v>-0.02</v>
      </c>
      <c r="G110" s="319">
        <v>-0.02</v>
      </c>
      <c r="H110" s="319">
        <v>-0.02</v>
      </c>
    </row>
    <row r="111" spans="1:8">
      <c r="A111" s="285" t="s">
        <v>510</v>
      </c>
      <c r="B111" s="286" t="s">
        <v>40</v>
      </c>
      <c r="C111" s="285" t="s">
        <v>53</v>
      </c>
      <c r="D111" s="5">
        <f>-D110*Return!D$10*WACC!$B$4</f>
        <v>307.99564384712363</v>
      </c>
      <c r="E111" s="5">
        <f>-E110*Return!E$10*WACC!$B$4</f>
        <v>320.53273861789381</v>
      </c>
      <c r="F111" s="5">
        <f>-F110*Return!F$10*WACC!$B$4</f>
        <v>308.29089053390538</v>
      </c>
      <c r="G111" s="5">
        <f>-G110*Return!G$10*WACC!$B$4</f>
        <v>246.90633437048152</v>
      </c>
      <c r="H111" s="5">
        <f>-H110*Return!H$10*WACC!$B$4</f>
        <v>168.59457565600974</v>
      </c>
    </row>
    <row r="112" spans="1:8">
      <c r="A112" s="285" t="s">
        <v>511</v>
      </c>
      <c r="B112" s="286" t="s">
        <v>40</v>
      </c>
      <c r="C112" s="285" t="s">
        <v>53</v>
      </c>
      <c r="D112" s="5">
        <f>D111*WACC!$B$10</f>
        <v>58.519172330953488</v>
      </c>
      <c r="E112" s="5">
        <f>E111*WACC!$B$10</f>
        <v>60.901220337399828</v>
      </c>
      <c r="F112" s="5">
        <f>F111*WACC!$B$10</f>
        <v>58.575269201442026</v>
      </c>
      <c r="G112" s="5">
        <f>G111*WACC!$B$10</f>
        <v>46.912203530391487</v>
      </c>
      <c r="H112" s="5">
        <f>H111*WACC!$B$10</f>
        <v>32.032969374641851</v>
      </c>
    </row>
    <row r="113" spans="1:8">
      <c r="A113" s="285" t="s">
        <v>512</v>
      </c>
      <c r="B113" s="286" t="s">
        <v>40</v>
      </c>
      <c r="C113" s="285" t="s">
        <v>53</v>
      </c>
      <c r="D113" s="5">
        <f>D111-D112</f>
        <v>249.47647151617014</v>
      </c>
      <c r="E113" s="5">
        <f t="shared" ref="E113" si="57">E111-E112</f>
        <v>259.63151828049399</v>
      </c>
      <c r="F113" s="5">
        <f t="shared" ref="F113" si="58">F111-F112</f>
        <v>249.71562133246334</v>
      </c>
      <c r="G113" s="5">
        <f t="shared" ref="G113" si="59">G111-G112</f>
        <v>199.99413084009004</v>
      </c>
      <c r="H113" s="5">
        <f t="shared" ref="H113" si="60">H111-H112</f>
        <v>136.56160628136789</v>
      </c>
    </row>
    <row r="114" spans="1:8">
      <c r="A114" s="285" t="s">
        <v>513</v>
      </c>
      <c r="B114" s="286" t="s">
        <v>12</v>
      </c>
      <c r="D114" s="2">
        <f>D113/RoRE!E$8</f>
        <v>1.0800000000000002E-2</v>
      </c>
      <c r="E114" s="2">
        <f>E113/RoRE!F$8</f>
        <v>1.0800000000000002E-2</v>
      </c>
      <c r="F114" s="2">
        <f>F113/RoRE!G$8</f>
        <v>1.0800000000000001E-2</v>
      </c>
      <c r="G114" s="2">
        <f>G113/RoRE!H$8</f>
        <v>1.0800000000000002E-2</v>
      </c>
      <c r="H114" s="2">
        <f>H113/RoRE!I$8</f>
        <v>1.0800000000000001E-2</v>
      </c>
    </row>
    <row r="115" spans="1:8">
      <c r="D115" s="5"/>
      <c r="E115" s="5"/>
      <c r="F115" s="5"/>
      <c r="G115" s="5"/>
      <c r="H115" s="5"/>
    </row>
    <row r="116" spans="1:8">
      <c r="A116" s="65" t="s">
        <v>526</v>
      </c>
      <c r="B116" s="1" t="s">
        <v>10</v>
      </c>
      <c r="C116" s="1" t="s">
        <v>11</v>
      </c>
      <c r="D116" s="236" t="s">
        <v>5</v>
      </c>
      <c r="E116" s="236" t="s">
        <v>6</v>
      </c>
      <c r="F116" s="236" t="s">
        <v>7</v>
      </c>
      <c r="G116" s="236" t="s">
        <v>8</v>
      </c>
      <c r="H116" s="236" t="s">
        <v>9</v>
      </c>
    </row>
    <row r="117" spans="1:8">
      <c r="A117" s="232" t="s">
        <v>527</v>
      </c>
      <c r="B117" s="286" t="s">
        <v>12</v>
      </c>
      <c r="D117" s="319">
        <v>-0.01</v>
      </c>
      <c r="E117" s="319">
        <v>-0.01</v>
      </c>
      <c r="F117" s="319">
        <v>-0.01</v>
      </c>
      <c r="G117" s="319">
        <v>-0.01</v>
      </c>
      <c r="H117" s="319">
        <v>-0.01</v>
      </c>
    </row>
    <row r="118" spans="1:8">
      <c r="A118" s="285" t="s">
        <v>510</v>
      </c>
      <c r="B118" s="286" t="s">
        <v>40</v>
      </c>
      <c r="C118" s="285" t="s">
        <v>53</v>
      </c>
      <c r="D118" s="5">
        <f>-D117*Return!D$10*WACC!$B$4</f>
        <v>153.99782192356182</v>
      </c>
      <c r="E118" s="5">
        <f>-E117*Return!E$10*WACC!$B$4</f>
        <v>160.26636930894691</v>
      </c>
      <c r="F118" s="5">
        <f>-F117*Return!F$10*WACC!$B$4</f>
        <v>154.14544526695269</v>
      </c>
      <c r="G118" s="5">
        <f>-G117*Return!G$10*WACC!$B$4</f>
        <v>123.45316718524076</v>
      </c>
      <c r="H118" s="5">
        <f>-H117*Return!H$10*WACC!$B$4</f>
        <v>84.297287828004869</v>
      </c>
    </row>
    <row r="119" spans="1:8">
      <c r="A119" s="285" t="s">
        <v>511</v>
      </c>
      <c r="B119" s="286" t="s">
        <v>40</v>
      </c>
      <c r="C119" s="285" t="s">
        <v>53</v>
      </c>
      <c r="D119" s="5">
        <f>D118*WACC!$B$10</f>
        <v>29.259586165476744</v>
      </c>
      <c r="E119" s="5">
        <f>E118*WACC!$B$10</f>
        <v>30.450610168699914</v>
      </c>
      <c r="F119" s="5">
        <f>F118*WACC!$B$10</f>
        <v>29.287634600721013</v>
      </c>
      <c r="G119" s="5">
        <f>G118*WACC!$B$10</f>
        <v>23.456101765195744</v>
      </c>
      <c r="H119" s="5">
        <f>H118*WACC!$B$10</f>
        <v>16.016484687320926</v>
      </c>
    </row>
    <row r="120" spans="1:8">
      <c r="A120" s="285" t="s">
        <v>512</v>
      </c>
      <c r="B120" s="286" t="s">
        <v>40</v>
      </c>
      <c r="C120" s="285" t="s">
        <v>53</v>
      </c>
      <c r="D120" s="5">
        <f>D118-D119</f>
        <v>124.73823575808507</v>
      </c>
      <c r="E120" s="5">
        <f t="shared" ref="E120" si="61">E118-E119</f>
        <v>129.815759140247</v>
      </c>
      <c r="F120" s="5">
        <f t="shared" ref="F120" si="62">F118-F119</f>
        <v>124.85781066623167</v>
      </c>
      <c r="G120" s="5">
        <f t="shared" ref="G120" si="63">G118-G119</f>
        <v>99.997065420045018</v>
      </c>
      <c r="H120" s="5">
        <f t="shared" ref="H120" si="64">H118-H119</f>
        <v>68.280803140683943</v>
      </c>
    </row>
    <row r="121" spans="1:8">
      <c r="A121" s="285" t="s">
        <v>513</v>
      </c>
      <c r="B121" s="286" t="s">
        <v>12</v>
      </c>
      <c r="D121" s="2">
        <f>D120/RoRE!E$8</f>
        <v>5.4000000000000012E-3</v>
      </c>
      <c r="E121" s="2">
        <f>E120/RoRE!F$8</f>
        <v>5.4000000000000012E-3</v>
      </c>
      <c r="F121" s="2">
        <f>F120/RoRE!G$8</f>
        <v>5.4000000000000003E-3</v>
      </c>
      <c r="G121" s="2">
        <f>G120/RoRE!H$8</f>
        <v>5.4000000000000012E-3</v>
      </c>
      <c r="H121" s="2">
        <f>H120/RoRE!I$8</f>
        <v>5.4000000000000003E-3</v>
      </c>
    </row>
    <row r="123" spans="1:8" ht="18">
      <c r="A123" s="256" t="s">
        <v>656</v>
      </c>
    </row>
    <row r="125" spans="1:8">
      <c r="A125" s="65" t="s">
        <v>528</v>
      </c>
      <c r="B125" s="1" t="s">
        <v>10</v>
      </c>
      <c r="C125" s="1" t="s">
        <v>11</v>
      </c>
      <c r="D125" s="236" t="s">
        <v>5</v>
      </c>
      <c r="E125" s="236" t="s">
        <v>6</v>
      </c>
      <c r="F125" s="236" t="s">
        <v>7</v>
      </c>
      <c r="G125" s="236" t="s">
        <v>8</v>
      </c>
      <c r="H125" s="236" t="s">
        <v>9</v>
      </c>
    </row>
    <row r="126" spans="1:8">
      <c r="A126" s="232" t="s">
        <v>521</v>
      </c>
      <c r="B126" s="286" t="s">
        <v>12</v>
      </c>
      <c r="D126" s="319">
        <v>0.3</v>
      </c>
      <c r="E126" s="320"/>
      <c r="F126" s="320"/>
      <c r="G126" s="320"/>
      <c r="H126" s="320"/>
    </row>
    <row r="127" spans="1:8">
      <c r="A127" s="232" t="s">
        <v>529</v>
      </c>
      <c r="B127" s="286" t="s">
        <v>40</v>
      </c>
      <c r="C127" s="285" t="s">
        <v>53</v>
      </c>
      <c r="D127" s="5">
        <f>D126*'FD allowances'!D$23</f>
        <v>0</v>
      </c>
      <c r="E127" s="5">
        <f>E126*'FD allowances'!E$23</f>
        <v>0</v>
      </c>
      <c r="F127" s="5">
        <f>F126*'FD allowances'!F$23</f>
        <v>0</v>
      </c>
      <c r="G127" s="5">
        <f>G126*'FD allowances'!G$23</f>
        <v>0</v>
      </c>
      <c r="H127" s="5">
        <f>H126*'FD allowances'!H$23</f>
        <v>0</v>
      </c>
    </row>
    <row r="128" spans="1:8">
      <c r="A128" s="232" t="s">
        <v>530</v>
      </c>
      <c r="B128" s="286" t="s">
        <v>40</v>
      </c>
      <c r="C128" s="285" t="s">
        <v>53</v>
      </c>
      <c r="D128" s="5">
        <f>D127*'FD allowances'!$B$5</f>
        <v>0</v>
      </c>
      <c r="E128" s="5">
        <f>E127*'FD allowances'!$B$5</f>
        <v>0</v>
      </c>
      <c r="F128" s="5">
        <f>F127*'FD allowances'!$B$5</f>
        <v>0</v>
      </c>
      <c r="G128" s="5">
        <f>G127*'FD allowances'!$B$5</f>
        <v>0</v>
      </c>
      <c r="H128" s="5">
        <f>H127*'FD allowances'!$B$5</f>
        <v>0</v>
      </c>
    </row>
    <row r="129" spans="1:8">
      <c r="A129" s="232" t="s">
        <v>264</v>
      </c>
      <c r="B129" s="286" t="s">
        <v>40</v>
      </c>
      <c r="C129" s="285" t="s">
        <v>53</v>
      </c>
      <c r="D129" s="5">
        <f>D127-D128</f>
        <v>0</v>
      </c>
      <c r="E129" s="5">
        <f t="shared" ref="E129:H129" si="65">E127-E128</f>
        <v>0</v>
      </c>
      <c r="F129" s="5">
        <f t="shared" si="65"/>
        <v>0</v>
      </c>
      <c r="G129" s="5">
        <f t="shared" si="65"/>
        <v>0</v>
      </c>
      <c r="H129" s="5">
        <f t="shared" si="65"/>
        <v>0</v>
      </c>
    </row>
    <row r="130" spans="1:8">
      <c r="A130" s="232" t="s">
        <v>531</v>
      </c>
      <c r="B130" s="286" t="s">
        <v>40</v>
      </c>
      <c r="C130" s="285" t="s">
        <v>53</v>
      </c>
      <c r="D130" s="5">
        <f>-D129/5</f>
        <v>0</v>
      </c>
      <c r="E130" s="5">
        <f>D130</f>
        <v>0</v>
      </c>
      <c r="F130" s="5">
        <f t="shared" ref="F130:H130" si="66">E130</f>
        <v>0</v>
      </c>
      <c r="G130" s="5">
        <f t="shared" si="66"/>
        <v>0</v>
      </c>
      <c r="H130" s="5">
        <f t="shared" si="66"/>
        <v>0</v>
      </c>
    </row>
    <row r="131" spans="1:8">
      <c r="A131" s="232" t="s">
        <v>346</v>
      </c>
      <c r="B131" s="286" t="s">
        <v>40</v>
      </c>
      <c r="C131" s="285" t="s">
        <v>53</v>
      </c>
      <c r="D131" s="5">
        <f>-D129*WACC!$B$18</f>
        <v>0</v>
      </c>
      <c r="E131" s="5">
        <f>D131</f>
        <v>0</v>
      </c>
      <c r="F131" s="5">
        <f t="shared" ref="F131:H131" si="67">E131</f>
        <v>0</v>
      </c>
      <c r="G131" s="5">
        <f t="shared" si="67"/>
        <v>0</v>
      </c>
      <c r="H131" s="5">
        <f t="shared" si="67"/>
        <v>0</v>
      </c>
    </row>
    <row r="132" spans="1:8">
      <c r="A132" s="285" t="s">
        <v>510</v>
      </c>
      <c r="B132" s="286" t="s">
        <v>40</v>
      </c>
      <c r="C132" s="285" t="s">
        <v>53</v>
      </c>
      <c r="D132" s="5">
        <f>D130+D131</f>
        <v>0</v>
      </c>
      <c r="E132" s="5">
        <f t="shared" ref="E132" si="68">E130+E131</f>
        <v>0</v>
      </c>
      <c r="F132" s="5">
        <f t="shared" ref="F132" si="69">F130+F131</f>
        <v>0</v>
      </c>
      <c r="G132" s="5">
        <f t="shared" ref="G132" si="70">G130+G131</f>
        <v>0</v>
      </c>
      <c r="H132" s="5">
        <f t="shared" ref="H132" si="71">H130+H131</f>
        <v>0</v>
      </c>
    </row>
    <row r="133" spans="1:8">
      <c r="A133" s="285" t="s">
        <v>511</v>
      </c>
      <c r="B133" s="286" t="s">
        <v>40</v>
      </c>
      <c r="C133" s="285" t="s">
        <v>53</v>
      </c>
      <c r="D133" s="5">
        <f>D132*WACC!$B$10</f>
        <v>0</v>
      </c>
      <c r="E133" s="5">
        <f>E132*WACC!$B$10</f>
        <v>0</v>
      </c>
      <c r="F133" s="5">
        <f>F132*WACC!$B$10</f>
        <v>0</v>
      </c>
      <c r="G133" s="5">
        <f>G132*WACC!$B$10</f>
        <v>0</v>
      </c>
      <c r="H133" s="5">
        <f>H132*WACC!$B$10</f>
        <v>0</v>
      </c>
    </row>
    <row r="134" spans="1:8">
      <c r="A134" s="285" t="s">
        <v>512</v>
      </c>
      <c r="B134" s="286" t="s">
        <v>40</v>
      </c>
      <c r="C134" s="285" t="s">
        <v>53</v>
      </c>
      <c r="D134" s="5">
        <f>D132-D133</f>
        <v>0</v>
      </c>
      <c r="E134" s="5">
        <f t="shared" ref="E134" si="72">E132-E133</f>
        <v>0</v>
      </c>
      <c r="F134" s="5">
        <f t="shared" ref="F134" si="73">F132-F133</f>
        <v>0</v>
      </c>
      <c r="G134" s="5">
        <f t="shared" ref="G134" si="74">G132-G133</f>
        <v>0</v>
      </c>
      <c r="H134" s="5">
        <f t="shared" ref="H134" si="75">H132-H133</f>
        <v>0</v>
      </c>
    </row>
    <row r="135" spans="1:8">
      <c r="A135" s="285" t="s">
        <v>513</v>
      </c>
      <c r="B135" s="286" t="s">
        <v>12</v>
      </c>
      <c r="D135" s="2">
        <f>D134/RoRE!E$8</f>
        <v>0</v>
      </c>
      <c r="E135" s="2">
        <f>E134/RoRE!F$8</f>
        <v>0</v>
      </c>
      <c r="F135" s="2">
        <f>F134/RoRE!G$8</f>
        <v>0</v>
      </c>
      <c r="G135" s="2">
        <f>G134/RoRE!H$8</f>
        <v>0</v>
      </c>
      <c r="H135" s="2">
        <f>H134/RoRE!I$8</f>
        <v>0</v>
      </c>
    </row>
    <row r="137" spans="1:8">
      <c r="A137" s="65" t="s">
        <v>532</v>
      </c>
      <c r="B137" s="1" t="s">
        <v>10</v>
      </c>
      <c r="C137" s="1" t="s">
        <v>11</v>
      </c>
      <c r="D137" s="236" t="s">
        <v>5</v>
      </c>
      <c r="E137" s="236" t="s">
        <v>6</v>
      </c>
      <c r="F137" s="236" t="s">
        <v>7</v>
      </c>
      <c r="G137" s="236" t="s">
        <v>8</v>
      </c>
      <c r="H137" s="236" t="s">
        <v>9</v>
      </c>
    </row>
    <row r="138" spans="1:8">
      <c r="A138" s="232" t="s">
        <v>521</v>
      </c>
      <c r="B138" s="286" t="s">
        <v>12</v>
      </c>
      <c r="D138" s="319">
        <v>0.15</v>
      </c>
      <c r="E138" s="320"/>
      <c r="F138" s="320"/>
      <c r="G138" s="320"/>
      <c r="H138" s="320"/>
    </row>
    <row r="139" spans="1:8">
      <c r="A139" s="232" t="s">
        <v>529</v>
      </c>
      <c r="B139" s="286" t="s">
        <v>40</v>
      </c>
      <c r="C139" s="285" t="s">
        <v>53</v>
      </c>
      <c r="D139" s="5">
        <f>D138*'FD allowances'!D$23</f>
        <v>0</v>
      </c>
      <c r="E139" s="5">
        <f>E138*'FD allowances'!E$23</f>
        <v>0</v>
      </c>
      <c r="F139" s="5">
        <f>F138*'FD allowances'!F$23</f>
        <v>0</v>
      </c>
      <c r="G139" s="5">
        <f>G138*'FD allowances'!G$23</f>
        <v>0</v>
      </c>
      <c r="H139" s="5">
        <f>H138*'FD allowances'!H$23</f>
        <v>0</v>
      </c>
    </row>
    <row r="140" spans="1:8">
      <c r="A140" s="232" t="s">
        <v>530</v>
      </c>
      <c r="B140" s="286" t="s">
        <v>40</v>
      </c>
      <c r="C140" s="285" t="s">
        <v>53</v>
      </c>
      <c r="D140" s="5">
        <f>D139*'FD allowances'!$B$5</f>
        <v>0</v>
      </c>
      <c r="E140" s="5">
        <f>E139*'FD allowances'!$B$5</f>
        <v>0</v>
      </c>
      <c r="F140" s="5">
        <f>F139*'FD allowances'!$B$5</f>
        <v>0</v>
      </c>
      <c r="G140" s="5">
        <f>G139*'FD allowances'!$B$5</f>
        <v>0</v>
      </c>
      <c r="H140" s="5">
        <f>H139*'FD allowances'!$B$5</f>
        <v>0</v>
      </c>
    </row>
    <row r="141" spans="1:8">
      <c r="A141" s="232" t="s">
        <v>264</v>
      </c>
      <c r="B141" s="286" t="s">
        <v>40</v>
      </c>
      <c r="C141" s="285" t="s">
        <v>53</v>
      </c>
      <c r="D141" s="5">
        <f>D139-D140</f>
        <v>0</v>
      </c>
      <c r="E141" s="5">
        <f t="shared" ref="E141" si="76">E139-E140</f>
        <v>0</v>
      </c>
      <c r="F141" s="5">
        <f t="shared" ref="F141" si="77">F139-F140</f>
        <v>0</v>
      </c>
      <c r="G141" s="5">
        <f t="shared" ref="G141" si="78">G139-G140</f>
        <v>0</v>
      </c>
      <c r="H141" s="5">
        <f t="shared" ref="H141" si="79">H139-H140</f>
        <v>0</v>
      </c>
    </row>
    <row r="142" spans="1:8">
      <c r="A142" s="232" t="s">
        <v>531</v>
      </c>
      <c r="B142" s="286" t="s">
        <v>40</v>
      </c>
      <c r="C142" s="285" t="s">
        <v>53</v>
      </c>
      <c r="D142" s="5">
        <f>-D141/5</f>
        <v>0</v>
      </c>
      <c r="E142" s="5">
        <f>D142</f>
        <v>0</v>
      </c>
      <c r="F142" s="5">
        <f t="shared" ref="F142:H142" si="80">E142</f>
        <v>0</v>
      </c>
      <c r="G142" s="5">
        <f t="shared" si="80"/>
        <v>0</v>
      </c>
      <c r="H142" s="5">
        <f t="shared" si="80"/>
        <v>0</v>
      </c>
    </row>
    <row r="143" spans="1:8">
      <c r="A143" s="232" t="s">
        <v>346</v>
      </c>
      <c r="B143" s="286" t="s">
        <v>40</v>
      </c>
      <c r="C143" s="285" t="s">
        <v>53</v>
      </c>
      <c r="D143" s="5">
        <f>-D141*WACC!$B$18</f>
        <v>0</v>
      </c>
      <c r="E143" s="5">
        <f>D143</f>
        <v>0</v>
      </c>
      <c r="F143" s="5">
        <f t="shared" ref="F143:H143" si="81">E143</f>
        <v>0</v>
      </c>
      <c r="G143" s="5">
        <f t="shared" si="81"/>
        <v>0</v>
      </c>
      <c r="H143" s="5">
        <f t="shared" si="81"/>
        <v>0</v>
      </c>
    </row>
    <row r="144" spans="1:8">
      <c r="A144" s="285" t="s">
        <v>510</v>
      </c>
      <c r="B144" s="286" t="s">
        <v>40</v>
      </c>
      <c r="C144" s="285" t="s">
        <v>53</v>
      </c>
      <c r="D144" s="5">
        <f>D142+D143</f>
        <v>0</v>
      </c>
      <c r="E144" s="5">
        <f t="shared" ref="E144" si="82">E142+E143</f>
        <v>0</v>
      </c>
      <c r="F144" s="5">
        <f t="shared" ref="F144" si="83">F142+F143</f>
        <v>0</v>
      </c>
      <c r="G144" s="5">
        <f t="shared" ref="G144" si="84">G142+G143</f>
        <v>0</v>
      </c>
      <c r="H144" s="5">
        <f t="shared" ref="H144" si="85">H142+H143</f>
        <v>0</v>
      </c>
    </row>
    <row r="145" spans="1:8">
      <c r="A145" s="285" t="s">
        <v>511</v>
      </c>
      <c r="B145" s="286" t="s">
        <v>40</v>
      </c>
      <c r="C145" s="285" t="s">
        <v>53</v>
      </c>
      <c r="D145" s="5">
        <f>D144*WACC!$B$10</f>
        <v>0</v>
      </c>
      <c r="E145" s="5">
        <f>E144*WACC!$B$10</f>
        <v>0</v>
      </c>
      <c r="F145" s="5">
        <f>F144*WACC!$B$10</f>
        <v>0</v>
      </c>
      <c r="G145" s="5">
        <f>G144*WACC!$B$10</f>
        <v>0</v>
      </c>
      <c r="H145" s="5">
        <f>H144*WACC!$B$10</f>
        <v>0</v>
      </c>
    </row>
    <row r="146" spans="1:8">
      <c r="A146" s="285" t="s">
        <v>512</v>
      </c>
      <c r="B146" s="286" t="s">
        <v>40</v>
      </c>
      <c r="C146" s="285" t="s">
        <v>53</v>
      </c>
      <c r="D146" s="5">
        <f>D144-D145</f>
        <v>0</v>
      </c>
      <c r="E146" s="5">
        <f t="shared" ref="E146" si="86">E144-E145</f>
        <v>0</v>
      </c>
      <c r="F146" s="5">
        <f t="shared" ref="F146" si="87">F144-F145</f>
        <v>0</v>
      </c>
      <c r="G146" s="5">
        <f t="shared" ref="G146" si="88">G144-G145</f>
        <v>0</v>
      </c>
      <c r="H146" s="5">
        <f t="shared" ref="H146" si="89">H144-H145</f>
        <v>0</v>
      </c>
    </row>
    <row r="147" spans="1:8">
      <c r="A147" s="285" t="s">
        <v>513</v>
      </c>
      <c r="B147" s="286" t="s">
        <v>12</v>
      </c>
      <c r="D147" s="2">
        <f>D146/RoRE!E$8</f>
        <v>0</v>
      </c>
      <c r="E147" s="2">
        <f>E146/RoRE!F$8</f>
        <v>0</v>
      </c>
      <c r="F147" s="2">
        <f>F146/RoRE!G$8</f>
        <v>0</v>
      </c>
      <c r="G147" s="2">
        <f>G146/RoRE!H$8</f>
        <v>0</v>
      </c>
      <c r="H147" s="2">
        <f>H146/RoRE!I$8</f>
        <v>0</v>
      </c>
    </row>
    <row r="149" spans="1:8">
      <c r="A149" s="65" t="s">
        <v>533</v>
      </c>
      <c r="B149" s="1" t="s">
        <v>10</v>
      </c>
      <c r="C149" s="1" t="s">
        <v>11</v>
      </c>
      <c r="D149" s="236" t="s">
        <v>5</v>
      </c>
      <c r="E149" s="236" t="s">
        <v>6</v>
      </c>
      <c r="F149" s="236" t="s">
        <v>7</v>
      </c>
      <c r="G149" s="236" t="s">
        <v>8</v>
      </c>
      <c r="H149" s="236" t="s">
        <v>9</v>
      </c>
    </row>
    <row r="150" spans="1:8">
      <c r="A150" s="232" t="s">
        <v>521</v>
      </c>
      <c r="B150" s="286" t="s">
        <v>12</v>
      </c>
      <c r="D150" s="319">
        <v>-0.3</v>
      </c>
      <c r="E150" s="320"/>
      <c r="F150" s="320"/>
      <c r="G150" s="320"/>
      <c r="H150" s="320"/>
    </row>
    <row r="151" spans="1:8">
      <c r="A151" s="232" t="s">
        <v>529</v>
      </c>
      <c r="B151" s="286" t="s">
        <v>40</v>
      </c>
      <c r="C151" s="285" t="s">
        <v>53</v>
      </c>
      <c r="D151" s="5">
        <f>D150*'FD allowances'!D$23</f>
        <v>0</v>
      </c>
      <c r="E151" s="5">
        <f>E150*'FD allowances'!E$23</f>
        <v>0</v>
      </c>
      <c r="F151" s="5">
        <f>F150*'FD allowances'!F$23</f>
        <v>0</v>
      </c>
      <c r="G151" s="5">
        <f>G150*'FD allowances'!G$23</f>
        <v>0</v>
      </c>
      <c r="H151" s="5">
        <f>H150*'FD allowances'!H$23</f>
        <v>0</v>
      </c>
    </row>
    <row r="152" spans="1:8">
      <c r="A152" s="232" t="s">
        <v>530</v>
      </c>
      <c r="B152" s="286" t="s">
        <v>40</v>
      </c>
      <c r="C152" s="285" t="s">
        <v>53</v>
      </c>
      <c r="D152" s="5">
        <f>D151*'FD allowances'!$B$5</f>
        <v>0</v>
      </c>
      <c r="E152" s="5">
        <f>E151*'FD allowances'!$B$5</f>
        <v>0</v>
      </c>
      <c r="F152" s="5">
        <f>F151*'FD allowances'!$B$5</f>
        <v>0</v>
      </c>
      <c r="G152" s="5">
        <f>G151*'FD allowances'!$B$5</f>
        <v>0</v>
      </c>
      <c r="H152" s="5">
        <f>H151*'FD allowances'!$B$5</f>
        <v>0</v>
      </c>
    </row>
    <row r="153" spans="1:8">
      <c r="A153" s="232" t="s">
        <v>264</v>
      </c>
      <c r="B153" s="286" t="s">
        <v>40</v>
      </c>
      <c r="C153" s="285" t="s">
        <v>53</v>
      </c>
      <c r="D153" s="5">
        <f>D151-D152</f>
        <v>0</v>
      </c>
      <c r="E153" s="5">
        <f t="shared" ref="E153" si="90">E151-E152</f>
        <v>0</v>
      </c>
      <c r="F153" s="5">
        <f t="shared" ref="F153" si="91">F151-F152</f>
        <v>0</v>
      </c>
      <c r="G153" s="5">
        <f t="shared" ref="G153" si="92">G151-G152</f>
        <v>0</v>
      </c>
      <c r="H153" s="5">
        <f t="shared" ref="H153" si="93">H151-H152</f>
        <v>0</v>
      </c>
    </row>
    <row r="154" spans="1:8">
      <c r="A154" s="232" t="s">
        <v>531</v>
      </c>
      <c r="B154" s="286" t="s">
        <v>40</v>
      </c>
      <c r="C154" s="285" t="s">
        <v>53</v>
      </c>
      <c r="D154" s="5">
        <f>-D153/5</f>
        <v>0</v>
      </c>
      <c r="E154" s="5">
        <f>D154</f>
        <v>0</v>
      </c>
      <c r="F154" s="5">
        <f t="shared" ref="F154:H154" si="94">E154</f>
        <v>0</v>
      </c>
      <c r="G154" s="5">
        <f t="shared" si="94"/>
        <v>0</v>
      </c>
      <c r="H154" s="5">
        <f t="shared" si="94"/>
        <v>0</v>
      </c>
    </row>
    <row r="155" spans="1:8">
      <c r="A155" s="232" t="s">
        <v>346</v>
      </c>
      <c r="B155" s="286" t="s">
        <v>40</v>
      </c>
      <c r="C155" s="285" t="s">
        <v>53</v>
      </c>
      <c r="D155" s="5">
        <f>-D153*WACC!$B$18</f>
        <v>0</v>
      </c>
      <c r="E155" s="5">
        <f>D155</f>
        <v>0</v>
      </c>
      <c r="F155" s="5">
        <f t="shared" ref="F155:H155" si="95">E155</f>
        <v>0</v>
      </c>
      <c r="G155" s="5">
        <f t="shared" si="95"/>
        <v>0</v>
      </c>
      <c r="H155" s="5">
        <f t="shared" si="95"/>
        <v>0</v>
      </c>
    </row>
    <row r="156" spans="1:8">
      <c r="A156" s="285" t="s">
        <v>510</v>
      </c>
      <c r="B156" s="286" t="s">
        <v>40</v>
      </c>
      <c r="C156" s="285" t="s">
        <v>53</v>
      </c>
      <c r="D156" s="5">
        <f>D154+D155</f>
        <v>0</v>
      </c>
      <c r="E156" s="5">
        <f t="shared" ref="E156" si="96">E154+E155</f>
        <v>0</v>
      </c>
      <c r="F156" s="5">
        <f t="shared" ref="F156" si="97">F154+F155</f>
        <v>0</v>
      </c>
      <c r="G156" s="5">
        <f t="shared" ref="G156" si="98">G154+G155</f>
        <v>0</v>
      </c>
      <c r="H156" s="5">
        <f t="shared" ref="H156" si="99">H154+H155</f>
        <v>0</v>
      </c>
    </row>
    <row r="157" spans="1:8">
      <c r="A157" s="285" t="s">
        <v>511</v>
      </c>
      <c r="B157" s="286" t="s">
        <v>40</v>
      </c>
      <c r="C157" s="285" t="s">
        <v>53</v>
      </c>
      <c r="D157" s="5">
        <f>D156*WACC!$B$10</f>
        <v>0</v>
      </c>
      <c r="E157" s="5">
        <f>E156*WACC!$B$10</f>
        <v>0</v>
      </c>
      <c r="F157" s="5">
        <f>F156*WACC!$B$10</f>
        <v>0</v>
      </c>
      <c r="G157" s="5">
        <f>G156*WACC!$B$10</f>
        <v>0</v>
      </c>
      <c r="H157" s="5">
        <f>H156*WACC!$B$10</f>
        <v>0</v>
      </c>
    </row>
    <row r="158" spans="1:8">
      <c r="A158" s="285" t="s">
        <v>512</v>
      </c>
      <c r="B158" s="286" t="s">
        <v>40</v>
      </c>
      <c r="C158" s="285" t="s">
        <v>53</v>
      </c>
      <c r="D158" s="5">
        <f>D156-D157</f>
        <v>0</v>
      </c>
      <c r="E158" s="5">
        <f t="shared" ref="E158" si="100">E156-E157</f>
        <v>0</v>
      </c>
      <c r="F158" s="5">
        <f t="shared" ref="F158" si="101">F156-F157</f>
        <v>0</v>
      </c>
      <c r="G158" s="5">
        <f t="shared" ref="G158" si="102">G156-G157</f>
        <v>0</v>
      </c>
      <c r="H158" s="5">
        <f t="shared" ref="H158" si="103">H156-H157</f>
        <v>0</v>
      </c>
    </row>
    <row r="159" spans="1:8">
      <c r="A159" s="285" t="s">
        <v>513</v>
      </c>
      <c r="B159" s="286" t="s">
        <v>12</v>
      </c>
      <c r="D159" s="2">
        <f>D158/RoRE!E$8</f>
        <v>0</v>
      </c>
      <c r="E159" s="2">
        <f>E158/RoRE!F$8</f>
        <v>0</v>
      </c>
      <c r="F159" s="2">
        <f>F158/RoRE!G$8</f>
        <v>0</v>
      </c>
      <c r="G159" s="2">
        <f>G158/RoRE!H$8</f>
        <v>0</v>
      </c>
      <c r="H159" s="2">
        <f>H158/RoRE!I$8</f>
        <v>0</v>
      </c>
    </row>
    <row r="161" spans="1:8">
      <c r="A161" s="65" t="s">
        <v>534</v>
      </c>
      <c r="B161" s="1" t="s">
        <v>10</v>
      </c>
      <c r="C161" s="1" t="s">
        <v>11</v>
      </c>
      <c r="D161" s="236" t="s">
        <v>5</v>
      </c>
      <c r="E161" s="236" t="s">
        <v>6</v>
      </c>
      <c r="F161" s="236" t="s">
        <v>7</v>
      </c>
      <c r="G161" s="236" t="s">
        <v>8</v>
      </c>
      <c r="H161" s="236" t="s">
        <v>9</v>
      </c>
    </row>
    <row r="162" spans="1:8">
      <c r="A162" s="232" t="s">
        <v>521</v>
      </c>
      <c r="B162" s="286" t="s">
        <v>12</v>
      </c>
      <c r="D162" s="319">
        <v>-0.15</v>
      </c>
      <c r="E162" s="320"/>
      <c r="F162" s="320"/>
      <c r="G162" s="320"/>
      <c r="H162" s="320"/>
    </row>
    <row r="163" spans="1:8">
      <c r="A163" s="232" t="s">
        <v>529</v>
      </c>
      <c r="B163" s="286" t="s">
        <v>40</v>
      </c>
      <c r="C163" s="285" t="s">
        <v>53</v>
      </c>
      <c r="D163" s="5">
        <f>D162*'FD allowances'!D$23</f>
        <v>0</v>
      </c>
      <c r="E163" s="5">
        <f>E162*'FD allowances'!E$23</f>
        <v>0</v>
      </c>
      <c r="F163" s="5">
        <f>F162*'FD allowances'!F$23</f>
        <v>0</v>
      </c>
      <c r="G163" s="5">
        <f>G162*'FD allowances'!G$23</f>
        <v>0</v>
      </c>
      <c r="H163" s="5">
        <f>H162*'FD allowances'!H$23</f>
        <v>0</v>
      </c>
    </row>
    <row r="164" spans="1:8">
      <c r="A164" s="232" t="s">
        <v>530</v>
      </c>
      <c r="B164" s="286" t="s">
        <v>40</v>
      </c>
      <c r="C164" s="285" t="s">
        <v>53</v>
      </c>
      <c r="D164" s="5">
        <f>D163*'FD allowances'!$B$5</f>
        <v>0</v>
      </c>
      <c r="E164" s="5">
        <f>E163*'FD allowances'!$B$5</f>
        <v>0</v>
      </c>
      <c r="F164" s="5">
        <f>F163*'FD allowances'!$B$5</f>
        <v>0</v>
      </c>
      <c r="G164" s="5">
        <f>G163*'FD allowances'!$B$5</f>
        <v>0</v>
      </c>
      <c r="H164" s="5">
        <f>H163*'FD allowances'!$B$5</f>
        <v>0</v>
      </c>
    </row>
    <row r="165" spans="1:8">
      <c r="A165" s="232" t="s">
        <v>264</v>
      </c>
      <c r="B165" s="286" t="s">
        <v>40</v>
      </c>
      <c r="C165" s="285" t="s">
        <v>53</v>
      </c>
      <c r="D165" s="5">
        <f>D163-D164</f>
        <v>0</v>
      </c>
      <c r="E165" s="5">
        <f t="shared" ref="E165" si="104">E163-E164</f>
        <v>0</v>
      </c>
      <c r="F165" s="5">
        <f t="shared" ref="F165" si="105">F163-F164</f>
        <v>0</v>
      </c>
      <c r="G165" s="5">
        <f t="shared" ref="G165" si="106">G163-G164</f>
        <v>0</v>
      </c>
      <c r="H165" s="5">
        <f t="shared" ref="H165" si="107">H163-H164</f>
        <v>0</v>
      </c>
    </row>
    <row r="166" spans="1:8">
      <c r="A166" s="232" t="s">
        <v>531</v>
      </c>
      <c r="B166" s="286" t="s">
        <v>40</v>
      </c>
      <c r="C166" s="285" t="s">
        <v>53</v>
      </c>
      <c r="D166" s="5">
        <f>-D165/5</f>
        <v>0</v>
      </c>
      <c r="E166" s="5">
        <f>D166</f>
        <v>0</v>
      </c>
      <c r="F166" s="5">
        <f t="shared" ref="F166:H166" si="108">E166</f>
        <v>0</v>
      </c>
      <c r="G166" s="5">
        <f t="shared" si="108"/>
        <v>0</v>
      </c>
      <c r="H166" s="5">
        <f t="shared" si="108"/>
        <v>0</v>
      </c>
    </row>
    <row r="167" spans="1:8">
      <c r="A167" s="232" t="s">
        <v>346</v>
      </c>
      <c r="B167" s="286" t="s">
        <v>40</v>
      </c>
      <c r="C167" s="285" t="s">
        <v>53</v>
      </c>
      <c r="D167" s="5">
        <f>-D165*WACC!$B$18</f>
        <v>0</v>
      </c>
      <c r="E167" s="5">
        <f>D167</f>
        <v>0</v>
      </c>
      <c r="F167" s="5">
        <f t="shared" ref="F167:H167" si="109">E167</f>
        <v>0</v>
      </c>
      <c r="G167" s="5">
        <f t="shared" si="109"/>
        <v>0</v>
      </c>
      <c r="H167" s="5">
        <f t="shared" si="109"/>
        <v>0</v>
      </c>
    </row>
    <row r="168" spans="1:8">
      <c r="A168" s="285" t="s">
        <v>510</v>
      </c>
      <c r="B168" s="286" t="s">
        <v>40</v>
      </c>
      <c r="C168" s="285" t="s">
        <v>53</v>
      </c>
      <c r="D168" s="5">
        <f>D166+D167</f>
        <v>0</v>
      </c>
      <c r="E168" s="5">
        <f t="shared" ref="E168" si="110">E166+E167</f>
        <v>0</v>
      </c>
      <c r="F168" s="5">
        <f t="shared" ref="F168" si="111">F166+F167</f>
        <v>0</v>
      </c>
      <c r="G168" s="5">
        <f t="shared" ref="G168" si="112">G166+G167</f>
        <v>0</v>
      </c>
      <c r="H168" s="5">
        <f t="shared" ref="H168" si="113">H166+H167</f>
        <v>0</v>
      </c>
    </row>
    <row r="169" spans="1:8">
      <c r="A169" s="285" t="s">
        <v>511</v>
      </c>
      <c r="B169" s="286" t="s">
        <v>40</v>
      </c>
      <c r="C169" s="285" t="s">
        <v>53</v>
      </c>
      <c r="D169" s="5">
        <f>D168*WACC!$B$10</f>
        <v>0</v>
      </c>
      <c r="E169" s="5">
        <f>E168*WACC!$B$10</f>
        <v>0</v>
      </c>
      <c r="F169" s="5">
        <f>F168*WACC!$B$10</f>
        <v>0</v>
      </c>
      <c r="G169" s="5">
        <f>G168*WACC!$B$10</f>
        <v>0</v>
      </c>
      <c r="H169" s="5">
        <f>H168*WACC!$B$10</f>
        <v>0</v>
      </c>
    </row>
    <row r="170" spans="1:8">
      <c r="A170" s="285" t="s">
        <v>512</v>
      </c>
      <c r="B170" s="286" t="s">
        <v>40</v>
      </c>
      <c r="C170" s="285" t="s">
        <v>53</v>
      </c>
      <c r="D170" s="5">
        <f>D168-D169</f>
        <v>0</v>
      </c>
      <c r="E170" s="5">
        <f t="shared" ref="E170" si="114">E168-E169</f>
        <v>0</v>
      </c>
      <c r="F170" s="5">
        <f t="shared" ref="F170" si="115">F168-F169</f>
        <v>0</v>
      </c>
      <c r="G170" s="5">
        <f t="shared" ref="G170" si="116">G168-G169</f>
        <v>0</v>
      </c>
      <c r="H170" s="5">
        <f t="shared" ref="H170" si="117">H168-H169</f>
        <v>0</v>
      </c>
    </row>
    <row r="171" spans="1:8">
      <c r="A171" s="285" t="s">
        <v>513</v>
      </c>
      <c r="B171" s="286" t="s">
        <v>12</v>
      </c>
      <c r="D171" s="2">
        <f>D170/RoRE!E$8</f>
        <v>0</v>
      </c>
      <c r="E171" s="2">
        <f>E170/RoRE!F$8</f>
        <v>0</v>
      </c>
      <c r="F171" s="2">
        <f>F170/RoRE!G$8</f>
        <v>0</v>
      </c>
      <c r="G171" s="2">
        <f>G170/RoRE!H$8</f>
        <v>0</v>
      </c>
      <c r="H171" s="2">
        <f>H170/RoRE!I$8</f>
        <v>0</v>
      </c>
    </row>
    <row r="173" spans="1:8" ht="18">
      <c r="A173" s="256" t="s">
        <v>535</v>
      </c>
    </row>
    <row r="175" spans="1:8">
      <c r="A175" s="65" t="s">
        <v>778</v>
      </c>
      <c r="B175" s="65" t="s">
        <v>10</v>
      </c>
      <c r="C175" s="65" t="s">
        <v>11</v>
      </c>
      <c r="D175" s="236" t="s">
        <v>5</v>
      </c>
      <c r="E175" s="236" t="s">
        <v>6</v>
      </c>
      <c r="F175" s="236" t="s">
        <v>7</v>
      </c>
      <c r="G175" s="236" t="s">
        <v>8</v>
      </c>
      <c r="H175" s="236" t="s">
        <v>9</v>
      </c>
    </row>
    <row r="176" spans="1:8">
      <c r="A176" s="232" t="s">
        <v>536</v>
      </c>
      <c r="B176" s="286" t="s">
        <v>12</v>
      </c>
      <c r="C176" s="286"/>
      <c r="D176" s="379">
        <v>-0.05</v>
      </c>
      <c r="E176" s="319"/>
      <c r="F176" s="319"/>
      <c r="G176" s="319"/>
      <c r="H176" s="319"/>
    </row>
    <row r="177" spans="1:8">
      <c r="A177" s="232" t="s">
        <v>537</v>
      </c>
      <c r="B177" s="286" t="s">
        <v>40</v>
      </c>
      <c r="C177" s="286" t="s">
        <v>53</v>
      </c>
      <c r="D177" s="226"/>
      <c r="E177" s="226"/>
      <c r="F177" s="226">
        <f>D176*('FD forecasts'!$D$37)</f>
        <v>-308.77128895680084</v>
      </c>
      <c r="G177" s="226"/>
      <c r="H177" s="226"/>
    </row>
    <row r="178" spans="1:8">
      <c r="A178" s="286" t="s">
        <v>510</v>
      </c>
      <c r="B178" s="286" t="s">
        <v>40</v>
      </c>
      <c r="C178" s="286" t="s">
        <v>53</v>
      </c>
      <c r="D178" s="226"/>
      <c r="E178" s="226"/>
      <c r="F178" s="226">
        <f>F177</f>
        <v>-308.77128895680084</v>
      </c>
      <c r="G178" s="226"/>
      <c r="H178" s="226"/>
    </row>
    <row r="179" spans="1:8">
      <c r="A179" s="286" t="s">
        <v>511</v>
      </c>
      <c r="B179" s="286" t="s">
        <v>40</v>
      </c>
      <c r="C179" s="286" t="s">
        <v>53</v>
      </c>
      <c r="D179" s="226"/>
      <c r="E179" s="226"/>
      <c r="F179" s="226">
        <f>F178*WACC!$B$10</f>
        <v>-58.666544901792165</v>
      </c>
      <c r="G179" s="226"/>
      <c r="H179" s="226"/>
    </row>
    <row r="180" spans="1:8">
      <c r="A180" s="286" t="s">
        <v>512</v>
      </c>
      <c r="B180" s="286" t="s">
        <v>40</v>
      </c>
      <c r="C180" s="286" t="s">
        <v>53</v>
      </c>
      <c r="D180" s="226"/>
      <c r="E180" s="226"/>
      <c r="F180" s="226">
        <f t="shared" ref="F180" si="118">F178-F179</f>
        <v>-250.10474405500867</v>
      </c>
      <c r="G180" s="226"/>
      <c r="H180" s="226"/>
    </row>
    <row r="181" spans="1:8">
      <c r="A181" s="286" t="s">
        <v>513</v>
      </c>
      <c r="B181" s="286" t="s">
        <v>12</v>
      </c>
      <c r="C181" s="286"/>
      <c r="D181" s="380">
        <v>0</v>
      </c>
      <c r="E181" s="380">
        <v>0</v>
      </c>
      <c r="F181" s="380">
        <f>F180/RoRE!G$8</f>
        <v>-1.0816829245127179E-2</v>
      </c>
      <c r="G181" s="380">
        <v>0</v>
      </c>
      <c r="H181" s="380">
        <v>0</v>
      </c>
    </row>
    <row r="182" spans="1:8">
      <c r="A182" s="286"/>
      <c r="B182" s="286"/>
      <c r="C182" s="286"/>
      <c r="D182" s="286"/>
      <c r="E182" s="286"/>
      <c r="F182" s="286"/>
      <c r="G182" s="286"/>
      <c r="H182" s="286"/>
    </row>
    <row r="183" spans="1:8">
      <c r="A183" s="65" t="s">
        <v>538</v>
      </c>
      <c r="B183" s="65" t="s">
        <v>10</v>
      </c>
      <c r="C183" s="65" t="s">
        <v>11</v>
      </c>
      <c r="D183" s="236" t="s">
        <v>5</v>
      </c>
      <c r="E183" s="236" t="s">
        <v>6</v>
      </c>
      <c r="F183" s="236" t="s">
        <v>7</v>
      </c>
      <c r="G183" s="236" t="s">
        <v>8</v>
      </c>
      <c r="H183" s="236" t="s">
        <v>9</v>
      </c>
    </row>
    <row r="184" spans="1:8">
      <c r="A184" s="232" t="s">
        <v>536</v>
      </c>
      <c r="B184" s="286" t="s">
        <v>12</v>
      </c>
      <c r="C184" s="286"/>
      <c r="D184" s="379">
        <v>-2.5000000000000001E-2</v>
      </c>
      <c r="E184" s="319"/>
      <c r="F184" s="319"/>
      <c r="G184" s="319"/>
      <c r="H184" s="319"/>
    </row>
    <row r="185" spans="1:8">
      <c r="A185" s="232" t="s">
        <v>537</v>
      </c>
      <c r="B185" s="286" t="s">
        <v>40</v>
      </c>
      <c r="C185" s="286" t="s">
        <v>53</v>
      </c>
      <c r="D185" s="226"/>
      <c r="E185" s="226"/>
      <c r="F185" s="226">
        <f>D184*('FD forecasts'!$D$37)</f>
        <v>-154.38564447840042</v>
      </c>
      <c r="G185" s="226"/>
      <c r="H185" s="226"/>
    </row>
    <row r="186" spans="1:8">
      <c r="A186" s="286" t="s">
        <v>510</v>
      </c>
      <c r="B186" s="286" t="s">
        <v>40</v>
      </c>
      <c r="C186" s="286" t="s">
        <v>53</v>
      </c>
      <c r="D186" s="226"/>
      <c r="E186" s="226"/>
      <c r="F186" s="226">
        <f>F185</f>
        <v>-154.38564447840042</v>
      </c>
      <c r="G186" s="226"/>
      <c r="H186" s="226"/>
    </row>
    <row r="187" spans="1:8">
      <c r="A187" s="286" t="s">
        <v>511</v>
      </c>
      <c r="B187" s="286" t="s">
        <v>40</v>
      </c>
      <c r="C187" s="286" t="s">
        <v>53</v>
      </c>
      <c r="D187" s="226"/>
      <c r="E187" s="226"/>
      <c r="F187" s="226">
        <f>F186*WACC!$B$10</f>
        <v>-29.333272450896082</v>
      </c>
      <c r="G187" s="226"/>
      <c r="H187" s="226"/>
    </row>
    <row r="188" spans="1:8">
      <c r="A188" s="286" t="s">
        <v>512</v>
      </c>
      <c r="B188" s="286" t="s">
        <v>40</v>
      </c>
      <c r="C188" s="286" t="s">
        <v>53</v>
      </c>
      <c r="D188" s="226"/>
      <c r="E188" s="226"/>
      <c r="F188" s="226">
        <f t="shared" ref="F188" si="119">F186-F187</f>
        <v>-125.05237202750433</v>
      </c>
      <c r="G188" s="226"/>
      <c r="H188" s="226"/>
    </row>
    <row r="189" spans="1:8">
      <c r="A189" s="286" t="s">
        <v>513</v>
      </c>
      <c r="B189" s="286" t="s">
        <v>12</v>
      </c>
      <c r="C189" s="286"/>
      <c r="D189" s="380">
        <v>0</v>
      </c>
      <c r="E189" s="380">
        <v>0</v>
      </c>
      <c r="F189" s="380">
        <f>F188/RoRE!G$8</f>
        <v>-5.4084146225635895E-3</v>
      </c>
      <c r="G189" s="380">
        <v>0</v>
      </c>
      <c r="H189" s="380">
        <v>0</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34998626667073579"/>
  </sheetPr>
  <dimension ref="A1"/>
  <sheetViews>
    <sheetView workbookViewId="0">
      <selection activeCell="O30" sqref="O30"/>
    </sheetView>
  </sheetViews>
  <sheetFormatPr defaultColWidth="8.6640625" defaultRowHeight="14.25"/>
  <cols>
    <col min="1" max="16384" width="8.6640625" style="63"/>
  </cols>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59999389629810485"/>
    <pageSetUpPr fitToPage="1"/>
  </sheetPr>
  <dimension ref="B1:O76"/>
  <sheetViews>
    <sheetView topLeftCell="B5" zoomScaleNormal="100" workbookViewId="0">
      <pane xSplit="4" ySplit="8" topLeftCell="F13" activePane="bottomRight" state="frozen"/>
      <selection activeCell="I15" sqref="I15"/>
      <selection pane="topRight" activeCell="I15" sqref="I15"/>
      <selection pane="bottomLeft" activeCell="I15" sqref="I15"/>
      <selection pane="bottomRight" activeCell="B11" sqref="B11"/>
    </sheetView>
  </sheetViews>
  <sheetFormatPr defaultColWidth="9" defaultRowHeight="14.25"/>
  <cols>
    <col min="1" max="1" width="0" style="8" hidden="1" customWidth="1"/>
    <col min="2" max="2" width="46.1328125" style="8" customWidth="1"/>
    <col min="3" max="5" width="10.46484375" style="8" customWidth="1"/>
    <col min="6" max="7" width="9" style="8"/>
    <col min="8" max="12" width="9.46484375" style="8" bestFit="1" customWidth="1"/>
    <col min="13" max="15" width="10.1328125" style="8" bestFit="1" customWidth="1"/>
    <col min="16" max="16384" width="9" style="8"/>
  </cols>
  <sheetData>
    <row r="1" spans="2:15" hidden="1"/>
    <row r="2" spans="2:15" hidden="1"/>
    <row r="3" spans="2:15" hidden="1"/>
    <row r="4" spans="2:15" hidden="1"/>
    <row r="5" spans="2:15">
      <c r="I5" s="7"/>
      <c r="J5" s="7"/>
      <c r="K5" s="7"/>
      <c r="L5" s="7"/>
      <c r="M5" s="7"/>
      <c r="N5" s="7"/>
      <c r="O5" s="7"/>
    </row>
    <row r="9" spans="2:15" ht="23.65" thickBot="1">
      <c r="B9" s="11" t="s">
        <v>471</v>
      </c>
    </row>
    <row r="10" spans="2:15" ht="14.65" hidden="1" thickBot="1"/>
    <row r="11" spans="2:15" ht="15" customHeight="1">
      <c r="B11" s="298" t="s">
        <v>472</v>
      </c>
      <c r="C11" s="414" t="s">
        <v>162</v>
      </c>
      <c r="D11" s="414" t="s">
        <v>10</v>
      </c>
      <c r="E11" s="414" t="s">
        <v>11</v>
      </c>
      <c r="F11" s="411" t="s">
        <v>127</v>
      </c>
      <c r="G11" s="412"/>
      <c r="H11" s="416"/>
      <c r="I11" s="411" t="s">
        <v>128</v>
      </c>
      <c r="J11" s="416"/>
      <c r="K11" s="411" t="s">
        <v>129</v>
      </c>
      <c r="L11" s="412"/>
      <c r="M11" s="412"/>
      <c r="N11" s="412"/>
      <c r="O11" s="413"/>
    </row>
    <row r="12" spans="2:15">
      <c r="B12" s="299"/>
      <c r="C12" s="415"/>
      <c r="D12" s="415"/>
      <c r="E12" s="415"/>
      <c r="F12" s="292" t="s">
        <v>0</v>
      </c>
      <c r="G12" s="292" t="s">
        <v>1</v>
      </c>
      <c r="H12" s="292" t="s">
        <v>2</v>
      </c>
      <c r="I12" s="140" t="s">
        <v>3</v>
      </c>
      <c r="J12" s="300" t="s">
        <v>4</v>
      </c>
      <c r="K12" s="300" t="s">
        <v>5</v>
      </c>
      <c r="L12" s="300" t="s">
        <v>6</v>
      </c>
      <c r="M12" s="300" t="s">
        <v>7</v>
      </c>
      <c r="N12" s="300" t="s">
        <v>8</v>
      </c>
      <c r="O12" s="301" t="s">
        <v>9</v>
      </c>
    </row>
    <row r="13" spans="2:15">
      <c r="B13" s="302"/>
      <c r="C13" s="303"/>
      <c r="D13" s="303"/>
      <c r="E13" s="303"/>
      <c r="F13" s="304"/>
      <c r="G13" s="304"/>
      <c r="H13" s="304"/>
      <c r="I13" s="304"/>
      <c r="J13" s="304"/>
      <c r="K13" s="304"/>
      <c r="L13" s="304"/>
      <c r="M13" s="304"/>
      <c r="N13" s="304"/>
      <c r="O13" s="305"/>
    </row>
    <row r="14" spans="2:15">
      <c r="B14" s="147"/>
      <c r="C14" s="93"/>
      <c r="D14" s="93"/>
      <c r="E14" s="93"/>
      <c r="O14" s="149"/>
    </row>
    <row r="15" spans="2:15">
      <c r="B15" s="150" t="s">
        <v>164</v>
      </c>
      <c r="C15" s="93"/>
      <c r="D15" s="93" t="s">
        <v>40</v>
      </c>
      <c r="E15" s="93" t="s">
        <v>52</v>
      </c>
      <c r="F15" s="306">
        <v>33217.811909999997</v>
      </c>
      <c r="G15" s="306">
        <v>46852.205969999995</v>
      </c>
      <c r="H15" s="306">
        <v>53640.225017857578</v>
      </c>
      <c r="I15" s="307">
        <v>81839.251774077187</v>
      </c>
      <c r="J15" s="307">
        <v>54277.263442778545</v>
      </c>
      <c r="K15" s="307">
        <v>54448.662197759397</v>
      </c>
      <c r="L15" s="307">
        <v>84149.962789759127</v>
      </c>
      <c r="M15" s="307">
        <v>88298.942041649396</v>
      </c>
      <c r="N15" s="307">
        <v>91141.496498772147</v>
      </c>
      <c r="O15" s="308">
        <v>86594.214430549153</v>
      </c>
    </row>
    <row r="16" spans="2:15">
      <c r="B16" s="150" t="s">
        <v>165</v>
      </c>
      <c r="C16" s="93"/>
      <c r="D16" s="93" t="s">
        <v>40</v>
      </c>
      <c r="E16" s="93" t="s">
        <v>52</v>
      </c>
      <c r="F16" s="306">
        <v>33794.973969999999</v>
      </c>
      <c r="G16" s="306">
        <v>32922.405579999999</v>
      </c>
      <c r="H16" s="306">
        <v>43209.344809999995</v>
      </c>
      <c r="I16" s="307">
        <v>47753</v>
      </c>
      <c r="J16" s="307">
        <v>52438.619738453686</v>
      </c>
      <c r="K16" s="307">
        <v>46684.82880000001</v>
      </c>
      <c r="L16" s="307">
        <v>48149.129376000004</v>
      </c>
      <c r="M16" s="307">
        <v>49328.598395520006</v>
      </c>
      <c r="N16" s="307">
        <v>50370.374403590409</v>
      </c>
      <c r="O16" s="308">
        <v>51377.78189166222</v>
      </c>
    </row>
    <row r="17" spans="2:15">
      <c r="B17" s="150" t="s">
        <v>166</v>
      </c>
      <c r="C17" s="93"/>
      <c r="D17" s="93" t="s">
        <v>40</v>
      </c>
      <c r="E17" s="93" t="s">
        <v>52</v>
      </c>
      <c r="F17" s="306">
        <v>23244.420739999998</v>
      </c>
      <c r="G17" s="306">
        <v>12018.10216</v>
      </c>
      <c r="H17" s="306">
        <v>12467.697769999999</v>
      </c>
      <c r="I17" s="307">
        <v>18</v>
      </c>
      <c r="J17" s="307">
        <v>0</v>
      </c>
      <c r="K17" s="307">
        <v>0</v>
      </c>
      <c r="L17" s="307">
        <v>0</v>
      </c>
      <c r="M17" s="307">
        <v>0</v>
      </c>
      <c r="N17" s="307">
        <v>0</v>
      </c>
      <c r="O17" s="308">
        <v>0</v>
      </c>
    </row>
    <row r="18" spans="2:15">
      <c r="B18" s="150" t="s">
        <v>167</v>
      </c>
      <c r="C18" s="93"/>
      <c r="D18" s="93" t="s">
        <v>40</v>
      </c>
      <c r="E18" s="93" t="s">
        <v>52</v>
      </c>
      <c r="F18" s="306"/>
      <c r="G18" s="306"/>
      <c r="H18" s="306"/>
      <c r="I18" s="307"/>
      <c r="J18" s="307"/>
      <c r="K18" s="307"/>
      <c r="L18" s="307"/>
      <c r="M18" s="307"/>
      <c r="N18" s="307"/>
      <c r="O18" s="308"/>
    </row>
    <row r="19" spans="2:15">
      <c r="B19" s="150" t="s">
        <v>168</v>
      </c>
      <c r="C19" s="93"/>
      <c r="D19" s="93" t="s">
        <v>40</v>
      </c>
      <c r="E19" s="93" t="s">
        <v>52</v>
      </c>
      <c r="F19" s="306">
        <v>917.4185500000001</v>
      </c>
      <c r="G19" s="306">
        <v>1688.452</v>
      </c>
      <c r="H19" s="306">
        <v>909.32249999999999</v>
      </c>
      <c r="I19" s="307">
        <v>572</v>
      </c>
      <c r="J19" s="307">
        <v>828.65966994099654</v>
      </c>
      <c r="K19" s="307">
        <v>832.32000000000016</v>
      </c>
      <c r="L19" s="307">
        <v>848.96640000000014</v>
      </c>
      <c r="M19" s="307">
        <v>865.94572800000014</v>
      </c>
      <c r="N19" s="307">
        <v>883.2646425600002</v>
      </c>
      <c r="O19" s="308">
        <v>900.92993541120018</v>
      </c>
    </row>
    <row r="20" spans="2:15">
      <c r="B20" s="150" t="s">
        <v>473</v>
      </c>
      <c r="C20" s="93"/>
      <c r="D20" s="93" t="s">
        <v>40</v>
      </c>
      <c r="E20" s="93" t="s">
        <v>52</v>
      </c>
      <c r="F20" s="306"/>
      <c r="G20" s="306"/>
      <c r="H20" s="306"/>
      <c r="I20" s="307"/>
      <c r="J20" s="307"/>
      <c r="K20" s="307"/>
      <c r="L20" s="307"/>
      <c r="M20" s="307"/>
      <c r="N20" s="307"/>
      <c r="O20" s="308"/>
    </row>
    <row r="21" spans="2:15">
      <c r="B21" s="200" t="s">
        <v>170</v>
      </c>
      <c r="C21" s="93"/>
      <c r="D21" s="93" t="s">
        <v>40</v>
      </c>
      <c r="E21" s="93" t="s">
        <v>52</v>
      </c>
      <c r="F21" s="306">
        <v>31.671680000000002</v>
      </c>
      <c r="G21" s="306">
        <v>29.414400000000001</v>
      </c>
      <c r="H21" s="306">
        <v>31.786909999999999</v>
      </c>
      <c r="I21" s="307">
        <v>30</v>
      </c>
      <c r="J21" s="307">
        <v>31.074737622787371</v>
      </c>
      <c r="K21" s="307">
        <v>31.212000000000007</v>
      </c>
      <c r="L21" s="307">
        <v>31.836240000000004</v>
      </c>
      <c r="M21" s="307">
        <v>32.472964800000007</v>
      </c>
      <c r="N21" s="307">
        <v>33.12242409600001</v>
      </c>
      <c r="O21" s="308">
        <v>33.784872577920012</v>
      </c>
    </row>
    <row r="22" spans="2:15">
      <c r="B22" s="200" t="s">
        <v>171</v>
      </c>
      <c r="C22" s="93"/>
      <c r="D22" s="93" t="s">
        <v>40</v>
      </c>
      <c r="E22" s="93" t="s">
        <v>52</v>
      </c>
      <c r="F22" s="201">
        <v>1805.8933100000002</v>
      </c>
      <c r="G22" s="306"/>
      <c r="H22" s="306"/>
      <c r="I22" s="307"/>
      <c r="J22" s="307"/>
      <c r="K22" s="307"/>
      <c r="L22" s="307"/>
      <c r="M22" s="307"/>
      <c r="N22" s="307"/>
      <c r="O22" s="308"/>
    </row>
    <row r="23" spans="2:15">
      <c r="B23" s="204" t="s">
        <v>172</v>
      </c>
      <c r="C23" s="93"/>
      <c r="D23" s="93" t="s">
        <v>40</v>
      </c>
      <c r="E23" s="93" t="s">
        <v>52</v>
      </c>
      <c r="F23" s="306">
        <v>2060.8345199999994</v>
      </c>
      <c r="G23" s="306">
        <v>4714.6364999999996</v>
      </c>
      <c r="H23" s="306">
        <v>3044.3442300000002</v>
      </c>
      <c r="I23" s="307">
        <v>0</v>
      </c>
      <c r="J23" s="307">
        <v>0</v>
      </c>
      <c r="K23" s="307">
        <v>0</v>
      </c>
      <c r="L23" s="307">
        <v>0</v>
      </c>
      <c r="M23" s="307">
        <v>0</v>
      </c>
      <c r="N23" s="307">
        <v>0</v>
      </c>
      <c r="O23" s="308">
        <v>0</v>
      </c>
    </row>
    <row r="24" spans="2:15">
      <c r="B24" s="150" t="s">
        <v>173</v>
      </c>
      <c r="C24" s="93"/>
      <c r="D24" s="93" t="s">
        <v>40</v>
      </c>
      <c r="E24" s="93" t="s">
        <v>52</v>
      </c>
      <c r="F24" s="306"/>
      <c r="G24" s="306"/>
      <c r="H24" s="306"/>
      <c r="I24" s="307"/>
      <c r="J24" s="307"/>
      <c r="K24" s="307"/>
      <c r="L24" s="307"/>
      <c r="M24" s="307"/>
      <c r="N24" s="307"/>
      <c r="O24" s="308"/>
    </row>
    <row r="25" spans="2:15">
      <c r="B25" s="150"/>
      <c r="C25" s="93"/>
      <c r="D25" s="93"/>
      <c r="E25" s="93"/>
      <c r="F25" s="309"/>
      <c r="G25" s="309"/>
      <c r="H25" s="309"/>
      <c r="I25" s="309"/>
      <c r="J25" s="309"/>
      <c r="K25" s="309"/>
      <c r="L25" s="309"/>
      <c r="M25" s="309"/>
      <c r="N25" s="309"/>
      <c r="O25" s="310"/>
    </row>
    <row r="26" spans="2:15">
      <c r="B26" s="147" t="s">
        <v>174</v>
      </c>
      <c r="C26" s="93"/>
      <c r="D26" s="93"/>
      <c r="E26" s="93"/>
      <c r="F26" s="311">
        <f t="shared" ref="F26:O26" si="0">SUM(F15:F25)</f>
        <v>95073.024680000002</v>
      </c>
      <c r="G26" s="311">
        <f t="shared" si="0"/>
        <v>98225.216609999989</v>
      </c>
      <c r="H26" s="311">
        <f t="shared" si="0"/>
        <v>113302.72123785756</v>
      </c>
      <c r="I26" s="311">
        <f t="shared" si="0"/>
        <v>130212.25177407719</v>
      </c>
      <c r="J26" s="311">
        <f t="shared" si="0"/>
        <v>107575.61758879601</v>
      </c>
      <c r="K26" s="311">
        <f t="shared" si="0"/>
        <v>101997.02299775941</v>
      </c>
      <c r="L26" s="311">
        <f t="shared" si="0"/>
        <v>133179.89480575913</v>
      </c>
      <c r="M26" s="311">
        <f t="shared" si="0"/>
        <v>138525.95912996939</v>
      </c>
      <c r="N26" s="311">
        <f t="shared" si="0"/>
        <v>142428.25796901857</v>
      </c>
      <c r="O26" s="312">
        <f t="shared" si="0"/>
        <v>138906.71113020051</v>
      </c>
    </row>
    <row r="27" spans="2:15">
      <c r="B27" s="150"/>
      <c r="C27" s="93"/>
      <c r="D27" s="93"/>
      <c r="E27" s="93"/>
      <c r="F27" s="309"/>
      <c r="G27" s="309"/>
      <c r="H27" s="309"/>
      <c r="I27" s="309"/>
      <c r="J27" s="309"/>
      <c r="K27" s="309"/>
      <c r="L27" s="309"/>
      <c r="M27" s="309"/>
      <c r="N27" s="309"/>
      <c r="O27" s="310"/>
    </row>
    <row r="28" spans="2:15">
      <c r="B28" s="147" t="s">
        <v>175</v>
      </c>
      <c r="C28" s="93"/>
      <c r="D28" s="93"/>
      <c r="E28" s="93"/>
      <c r="F28" s="309"/>
      <c r="G28" s="309"/>
      <c r="H28" s="309"/>
      <c r="I28" s="309"/>
      <c r="J28" s="309"/>
      <c r="K28" s="309"/>
      <c r="L28" s="309"/>
      <c r="M28" s="309"/>
      <c r="N28" s="309"/>
      <c r="O28" s="310"/>
    </row>
    <row r="29" spans="2:15">
      <c r="B29" s="150" t="s">
        <v>176</v>
      </c>
      <c r="C29" s="93"/>
      <c r="D29" s="93" t="s">
        <v>40</v>
      </c>
      <c r="E29" s="93" t="s">
        <v>52</v>
      </c>
      <c r="F29" s="306">
        <v>-18952.01713</v>
      </c>
      <c r="G29" s="306">
        <v>-26342.658079999997</v>
      </c>
      <c r="H29" s="306">
        <v>-27618.650170000001</v>
      </c>
      <c r="I29" s="307">
        <v>-44489.900858394423</v>
      </c>
      <c r="J29" s="307">
        <v>-33107.242986481026</v>
      </c>
      <c r="K29" s="307">
        <v>-40279.562399160008</v>
      </c>
      <c r="L29" s="307">
        <v>-51439.338242258404</v>
      </c>
      <c r="M29" s="307">
        <v>-53821.603827721621</v>
      </c>
      <c r="N29" s="307">
        <v>-55218.935987001787</v>
      </c>
      <c r="O29" s="308">
        <v>-56641.9800792604</v>
      </c>
    </row>
    <row r="30" spans="2:15">
      <c r="B30" s="150" t="s">
        <v>165</v>
      </c>
      <c r="C30" s="93"/>
      <c r="D30" s="93" t="s">
        <v>40</v>
      </c>
      <c r="E30" s="93" t="s">
        <v>52</v>
      </c>
      <c r="F30" s="306">
        <v>-36500.000039999999</v>
      </c>
      <c r="G30" s="306">
        <v>-30108.383999999998</v>
      </c>
      <c r="H30" s="306">
        <v>-36901.847999999998</v>
      </c>
      <c r="I30" s="307">
        <v>-43979.16</v>
      </c>
      <c r="J30" s="307">
        <v>-46925.961284171208</v>
      </c>
      <c r="K30" s="307">
        <v>-41147.820000000007</v>
      </c>
      <c r="L30" s="307">
        <v>-42501.380400000009</v>
      </c>
      <c r="M30" s="307">
        <v>-43567.894440000011</v>
      </c>
      <c r="N30" s="307">
        <v>-44494.456368960011</v>
      </c>
      <c r="O30" s="308">
        <v>-45384.345496339214</v>
      </c>
    </row>
    <row r="31" spans="2:15">
      <c r="B31" s="150" t="s">
        <v>166</v>
      </c>
      <c r="C31" s="93"/>
      <c r="D31" s="93" t="s">
        <v>40</v>
      </c>
      <c r="E31" s="93" t="s">
        <v>52</v>
      </c>
      <c r="F31" s="306">
        <v>-23244.440739999998</v>
      </c>
      <c r="G31" s="306">
        <v>-12018.10216</v>
      </c>
      <c r="H31" s="306">
        <v>-12467.697769999999</v>
      </c>
      <c r="I31" s="307">
        <v>-18</v>
      </c>
      <c r="J31" s="307">
        <v>0</v>
      </c>
      <c r="K31" s="307">
        <v>0</v>
      </c>
      <c r="L31" s="307">
        <v>0</v>
      </c>
      <c r="M31" s="307">
        <v>0</v>
      </c>
      <c r="N31" s="307">
        <v>0</v>
      </c>
      <c r="O31" s="308">
        <v>0</v>
      </c>
    </row>
    <row r="32" spans="2:15">
      <c r="B32" s="150" t="s">
        <v>168</v>
      </c>
      <c r="C32" s="93"/>
      <c r="D32" s="93" t="s">
        <v>40</v>
      </c>
      <c r="E32" s="93" t="s">
        <v>52</v>
      </c>
      <c r="F32" s="306">
        <v>-339.58678999999995</v>
      </c>
      <c r="G32" s="306">
        <v>-1043.8497600000001</v>
      </c>
      <c r="H32" s="306">
        <v>-109.49776</v>
      </c>
      <c r="I32" s="307">
        <v>-150</v>
      </c>
      <c r="J32" s="307">
        <v>-155.37368811393685</v>
      </c>
      <c r="K32" s="307">
        <v>-156.06000000000003</v>
      </c>
      <c r="L32" s="307">
        <v>-159.18120000000002</v>
      </c>
      <c r="M32" s="307">
        <v>-162.36482400000003</v>
      </c>
      <c r="N32" s="307">
        <v>-165.61212048000004</v>
      </c>
      <c r="O32" s="308">
        <v>-168.92436288960005</v>
      </c>
    </row>
    <row r="33" spans="2:15">
      <c r="B33" s="200" t="s">
        <v>177</v>
      </c>
      <c r="C33" s="93"/>
      <c r="D33" s="93" t="s">
        <v>40</v>
      </c>
      <c r="E33" s="93" t="s">
        <v>52</v>
      </c>
      <c r="F33" s="306">
        <v>0</v>
      </c>
      <c r="G33" s="306">
        <v>-2296.40859</v>
      </c>
      <c r="H33" s="306">
        <v>-5766.5837000000001</v>
      </c>
      <c r="I33" s="307">
        <v>-5250</v>
      </c>
      <c r="J33" s="307">
        <v>-5512.6584542824794</v>
      </c>
      <c r="K33" s="307">
        <v>-5537.0088000000014</v>
      </c>
      <c r="L33" s="307">
        <v>-5647.7489760000008</v>
      </c>
      <c r="M33" s="307">
        <v>-5760.7039555200008</v>
      </c>
      <c r="N33" s="307">
        <v>-5875.9180346304011</v>
      </c>
      <c r="O33" s="308">
        <v>-5993.4363953230095</v>
      </c>
    </row>
    <row r="34" spans="2:15">
      <c r="B34" s="204" t="s">
        <v>178</v>
      </c>
      <c r="C34" s="93"/>
      <c r="D34" s="93" t="s">
        <v>40</v>
      </c>
      <c r="E34" s="93" t="s">
        <v>52</v>
      </c>
      <c r="F34" s="306">
        <v>-1927.3554299999998</v>
      </c>
      <c r="G34" s="306">
        <v>-4434.54324</v>
      </c>
      <c r="H34" s="306">
        <v>-3011.96515</v>
      </c>
      <c r="I34" s="307">
        <v>416</v>
      </c>
      <c r="J34" s="307">
        <v>296.41754125737543</v>
      </c>
      <c r="K34" s="307">
        <v>295.95999999999998</v>
      </c>
      <c r="L34" s="307">
        <v>293.87919999999997</v>
      </c>
      <c r="M34" s="307">
        <v>291.75678399999998</v>
      </c>
      <c r="N34" s="307">
        <v>289.59191967999999</v>
      </c>
      <c r="O34" s="308">
        <v>287.38375807360001</v>
      </c>
    </row>
    <row r="35" spans="2:15">
      <c r="B35" s="204" t="s">
        <v>179</v>
      </c>
      <c r="C35" s="93"/>
      <c r="D35" s="93" t="s">
        <v>40</v>
      </c>
      <c r="E35" s="93" t="s">
        <v>52</v>
      </c>
      <c r="F35" s="306">
        <v>-472.69722999999999</v>
      </c>
      <c r="G35" s="306">
        <v>-427.54716999999999</v>
      </c>
      <c r="H35" s="306">
        <v>-738.52643999999998</v>
      </c>
      <c r="I35" s="307">
        <v>-124</v>
      </c>
      <c r="J35" s="307">
        <v>-400</v>
      </c>
      <c r="K35" s="307">
        <v>-400</v>
      </c>
      <c r="L35" s="307">
        <v>-400</v>
      </c>
      <c r="M35" s="307">
        <v>-400</v>
      </c>
      <c r="N35" s="307">
        <v>-400</v>
      </c>
      <c r="O35" s="308">
        <v>-400</v>
      </c>
    </row>
    <row r="36" spans="2:15">
      <c r="B36" s="150"/>
      <c r="C36" s="93"/>
      <c r="D36" s="93"/>
      <c r="E36" s="93"/>
      <c r="F36" s="309"/>
      <c r="G36" s="309"/>
      <c r="H36" s="309"/>
      <c r="I36" s="309"/>
      <c r="J36" s="309"/>
      <c r="K36" s="309"/>
      <c r="L36" s="309"/>
      <c r="M36" s="309"/>
      <c r="N36" s="309"/>
      <c r="O36" s="310"/>
    </row>
    <row r="37" spans="2:15">
      <c r="B37" s="147" t="s">
        <v>180</v>
      </c>
      <c r="C37" s="93"/>
      <c r="D37" s="93"/>
      <c r="E37" s="93"/>
      <c r="F37" s="311">
        <f t="shared" ref="F37:O37" si="1">SUM(F29:F36)</f>
        <v>-81436.09736</v>
      </c>
      <c r="G37" s="311">
        <f t="shared" si="1"/>
        <v>-76671.493000000002</v>
      </c>
      <c r="H37" s="311">
        <f t="shared" si="1"/>
        <v>-86614.768990000011</v>
      </c>
      <c r="I37" s="311">
        <f t="shared" si="1"/>
        <v>-93595.060858394427</v>
      </c>
      <c r="J37" s="311">
        <f t="shared" si="1"/>
        <v>-85804.818871791271</v>
      </c>
      <c r="K37" s="311">
        <f t="shared" si="1"/>
        <v>-87224.491199159995</v>
      </c>
      <c r="L37" s="311">
        <f t="shared" si="1"/>
        <v>-99853.769618258419</v>
      </c>
      <c r="M37" s="311">
        <f t="shared" si="1"/>
        <v>-103420.81026324164</v>
      </c>
      <c r="N37" s="311">
        <f t="shared" si="1"/>
        <v>-105865.33059139221</v>
      </c>
      <c r="O37" s="312">
        <f t="shared" si="1"/>
        <v>-108301.30257573862</v>
      </c>
    </row>
    <row r="38" spans="2:15">
      <c r="B38" s="150"/>
      <c r="C38" s="93"/>
      <c r="D38" s="93"/>
      <c r="E38" s="93"/>
      <c r="F38" s="309"/>
      <c r="G38" s="309"/>
      <c r="H38" s="309"/>
      <c r="I38" s="309"/>
      <c r="J38" s="309"/>
      <c r="K38" s="309"/>
      <c r="L38" s="309"/>
      <c r="M38" s="309"/>
      <c r="N38" s="309"/>
      <c r="O38" s="310"/>
    </row>
    <row r="39" spans="2:15">
      <c r="B39" s="147" t="s">
        <v>181</v>
      </c>
      <c r="C39" s="93"/>
      <c r="D39" s="93"/>
      <c r="E39" s="93"/>
      <c r="F39" s="311">
        <f t="shared" ref="F39:O39" si="2">F26+F37</f>
        <v>13636.927320000003</v>
      </c>
      <c r="G39" s="311">
        <f t="shared" si="2"/>
        <v>21553.723609999986</v>
      </c>
      <c r="H39" s="311">
        <f t="shared" si="2"/>
        <v>26687.952247857553</v>
      </c>
      <c r="I39" s="311">
        <f t="shared" si="2"/>
        <v>36617.190915682761</v>
      </c>
      <c r="J39" s="311">
        <f t="shared" si="2"/>
        <v>21770.798717004742</v>
      </c>
      <c r="K39" s="311">
        <f t="shared" si="2"/>
        <v>14772.531798599419</v>
      </c>
      <c r="L39" s="311">
        <f t="shared" si="2"/>
        <v>33326.125187500715</v>
      </c>
      <c r="M39" s="311">
        <f t="shared" si="2"/>
        <v>35105.148866727744</v>
      </c>
      <c r="N39" s="311">
        <f t="shared" si="2"/>
        <v>36562.927377626358</v>
      </c>
      <c r="O39" s="312">
        <f t="shared" si="2"/>
        <v>30605.408554461887</v>
      </c>
    </row>
    <row r="40" spans="2:15">
      <c r="B40" s="150"/>
      <c r="C40" s="93"/>
      <c r="D40" s="93"/>
      <c r="E40" s="93"/>
      <c r="F40" s="309"/>
      <c r="G40" s="309"/>
      <c r="H40" s="309"/>
      <c r="I40" s="309"/>
      <c r="J40" s="309"/>
      <c r="K40" s="309"/>
      <c r="L40" s="309"/>
      <c r="M40" s="309"/>
      <c r="N40" s="309"/>
      <c r="O40" s="310"/>
    </row>
    <row r="41" spans="2:15">
      <c r="B41" s="147" t="s">
        <v>182</v>
      </c>
      <c r="C41" s="93"/>
      <c r="D41" s="93"/>
      <c r="E41" s="93"/>
      <c r="F41" s="309"/>
      <c r="G41" s="309"/>
      <c r="H41" s="309"/>
      <c r="I41" s="309"/>
      <c r="J41" s="309"/>
      <c r="K41" s="309"/>
      <c r="L41" s="309"/>
      <c r="M41" s="309"/>
      <c r="N41" s="309"/>
      <c r="O41" s="310"/>
    </row>
    <row r="42" spans="2:15">
      <c r="B42" s="150" t="s">
        <v>183</v>
      </c>
      <c r="C42" s="93"/>
      <c r="D42" s="93" t="s">
        <v>40</v>
      </c>
      <c r="E42" s="93" t="s">
        <v>52</v>
      </c>
      <c r="F42" s="306">
        <v>-8051.584223043963</v>
      </c>
      <c r="G42" s="306">
        <v>-8343.5367939994594</v>
      </c>
      <c r="H42" s="306">
        <v>-8694.0716634034088</v>
      </c>
      <c r="I42" s="307">
        <v>-9013.3924413686382</v>
      </c>
      <c r="J42" s="307">
        <v>-8689.3743106294987</v>
      </c>
      <c r="K42" s="307">
        <v>-10928.666319354999</v>
      </c>
      <c r="L42" s="307">
        <v>-11130.922371337911</v>
      </c>
      <c r="M42" s="307">
        <v>-11412.438067354216</v>
      </c>
      <c r="N42" s="307">
        <v>-11529.069466379007</v>
      </c>
      <c r="O42" s="308">
        <v>-11767.191434109216</v>
      </c>
    </row>
    <row r="43" spans="2:15">
      <c r="B43" s="150" t="s">
        <v>184</v>
      </c>
      <c r="C43" s="93"/>
      <c r="D43" s="93" t="s">
        <v>40</v>
      </c>
      <c r="E43" s="93" t="s">
        <v>52</v>
      </c>
      <c r="F43" s="306">
        <v>-1920.2023399999996</v>
      </c>
      <c r="G43" s="306">
        <v>-2275.5032500000002</v>
      </c>
      <c r="H43" s="306">
        <v>-2303.1195599999996</v>
      </c>
      <c r="I43" s="307">
        <v>-2713.8687999999997</v>
      </c>
      <c r="J43" s="307">
        <v>-2979.6644327999998</v>
      </c>
      <c r="K43" s="307">
        <v>-3870.7255194120003</v>
      </c>
      <c r="L43" s="307">
        <v>-4325.2270285614477</v>
      </c>
      <c r="M43" s="307">
        <v>-4845.0120538579558</v>
      </c>
      <c r="N43" s="307">
        <v>-5306.5814553692471</v>
      </c>
      <c r="O43" s="308">
        <v>-5397.103565658721</v>
      </c>
    </row>
    <row r="44" spans="2:15">
      <c r="B44" s="150" t="s">
        <v>19</v>
      </c>
      <c r="C44" s="93"/>
      <c r="D44" s="93" t="s">
        <v>40</v>
      </c>
      <c r="E44" s="93" t="s">
        <v>52</v>
      </c>
      <c r="F44" s="306">
        <v>-1729.8302799999999</v>
      </c>
      <c r="G44" s="306">
        <v>-877.59519000000034</v>
      </c>
      <c r="H44" s="306">
        <v>-1025.9778499999998</v>
      </c>
      <c r="I44" s="307">
        <v>-766.25711480979544</v>
      </c>
      <c r="J44" s="307">
        <v>-771.4246331999999</v>
      </c>
      <c r="K44" s="307">
        <v>-622.83220354800005</v>
      </c>
      <c r="L44" s="307">
        <v>-585.40862269296019</v>
      </c>
      <c r="M44" s="307">
        <v>-577.73476488985932</v>
      </c>
      <c r="N44" s="307">
        <v>-1030.9217814676565</v>
      </c>
      <c r="O44" s="308">
        <v>-713.69149131780966</v>
      </c>
    </row>
    <row r="45" spans="2:15">
      <c r="B45" s="150" t="s">
        <v>185</v>
      </c>
      <c r="C45" s="93"/>
      <c r="D45" s="93" t="s">
        <v>40</v>
      </c>
      <c r="E45" s="93" t="s">
        <v>52</v>
      </c>
      <c r="F45" s="306">
        <v>-410.92299000000014</v>
      </c>
      <c r="G45" s="306">
        <v>-512.83535000000006</v>
      </c>
      <c r="H45" s="306">
        <v>-541.19416999999999</v>
      </c>
      <c r="I45" s="307">
        <v>-644.17241999999999</v>
      </c>
      <c r="J45" s="307">
        <v>-722.306719524409</v>
      </c>
      <c r="K45" s="307">
        <v>-1060.7998260103866</v>
      </c>
      <c r="L45" s="307">
        <v>-1119.1871698497014</v>
      </c>
      <c r="M45" s="307">
        <v>-1170.7297297362702</v>
      </c>
      <c r="N45" s="307">
        <v>-1237.1434810885021</v>
      </c>
      <c r="O45" s="308">
        <v>-1286.6316087646615</v>
      </c>
    </row>
    <row r="46" spans="2:15" s="7" customFormat="1">
      <c r="B46" s="200" t="s">
        <v>24</v>
      </c>
      <c r="C46" s="198"/>
      <c r="D46" s="198" t="s">
        <v>40</v>
      </c>
      <c r="E46" s="198" t="s">
        <v>52</v>
      </c>
      <c r="F46" s="201">
        <v>898.58104000000014</v>
      </c>
      <c r="G46" s="201">
        <v>227.32916</v>
      </c>
      <c r="H46" s="201">
        <v>231.04359999999997</v>
      </c>
      <c r="I46" s="202">
        <v>191.88140070314014</v>
      </c>
      <c r="J46" s="202">
        <v>195.71902871720295</v>
      </c>
      <c r="K46" s="202">
        <v>199.63340929154705</v>
      </c>
      <c r="L46" s="202">
        <v>203.62607747737798</v>
      </c>
      <c r="M46" s="202">
        <v>207.69859902692554</v>
      </c>
      <c r="N46" s="202">
        <v>211.85257100746406</v>
      </c>
      <c r="O46" s="203">
        <v>216.08962242761336</v>
      </c>
    </row>
    <row r="47" spans="2:15" s="7" customFormat="1">
      <c r="B47" s="200" t="s">
        <v>25</v>
      </c>
      <c r="C47" s="198"/>
      <c r="D47" s="198" t="s">
        <v>40</v>
      </c>
      <c r="E47" s="198" t="s">
        <v>52</v>
      </c>
      <c r="F47" s="201">
        <v>-1159.113339</v>
      </c>
      <c r="G47" s="201">
        <v>-434.20782500000001</v>
      </c>
      <c r="H47" s="201">
        <v>-272.34709399999997</v>
      </c>
      <c r="I47" s="202">
        <v>-267.2952627286603</v>
      </c>
      <c r="J47" s="202">
        <v>-272.64116798323352</v>
      </c>
      <c r="K47" s="202">
        <v>-278.09399134289822</v>
      </c>
      <c r="L47" s="202">
        <v>-283.65587116975621</v>
      </c>
      <c r="M47" s="202">
        <v>-289.32898859315134</v>
      </c>
      <c r="N47" s="202">
        <v>-295.11556836501438</v>
      </c>
      <c r="O47" s="203">
        <v>-301.01787973231467</v>
      </c>
    </row>
    <row r="48" spans="2:15">
      <c r="B48" s="150" t="s">
        <v>186</v>
      </c>
      <c r="C48" s="93"/>
      <c r="D48" s="93" t="s">
        <v>40</v>
      </c>
      <c r="E48" s="93" t="s">
        <v>52</v>
      </c>
      <c r="F48" s="306"/>
      <c r="G48" s="306"/>
      <c r="H48" s="306"/>
      <c r="I48" s="307"/>
      <c r="J48" s="307"/>
      <c r="K48" s="307"/>
      <c r="L48" s="307"/>
      <c r="M48" s="307"/>
      <c r="N48" s="307"/>
      <c r="O48" s="308"/>
    </row>
    <row r="49" spans="2:15">
      <c r="B49" s="150" t="s">
        <v>187</v>
      </c>
      <c r="C49" s="93"/>
      <c r="D49" s="93" t="s">
        <v>40</v>
      </c>
      <c r="E49" s="93" t="s">
        <v>52</v>
      </c>
      <c r="F49" s="306">
        <v>-317.07953999999995</v>
      </c>
      <c r="G49" s="306">
        <v>-894.31104000000005</v>
      </c>
      <c r="H49" s="306">
        <v>-388.13506000000007</v>
      </c>
      <c r="I49" s="307">
        <v>-120.70231333333342</v>
      </c>
      <c r="J49" s="307">
        <v>-307.18666976800006</v>
      </c>
      <c r="K49" s="307">
        <v>-1103.7024410041347</v>
      </c>
      <c r="L49" s="307">
        <v>-1141.4853887081172</v>
      </c>
      <c r="M49" s="307">
        <v>-1002.2911954455204</v>
      </c>
      <c r="N49" s="307">
        <v>-912.29059011383697</v>
      </c>
      <c r="O49" s="308">
        <v>-818.30379945474772</v>
      </c>
    </row>
    <row r="50" spans="2:15">
      <c r="B50" s="150" t="s">
        <v>17</v>
      </c>
      <c r="C50" s="93"/>
      <c r="D50" s="93" t="s">
        <v>40</v>
      </c>
      <c r="E50" s="93" t="s">
        <v>52</v>
      </c>
      <c r="F50" s="306">
        <v>-268</v>
      </c>
      <c r="G50" s="306">
        <v>-75</v>
      </c>
      <c r="H50" s="306">
        <v>-75</v>
      </c>
      <c r="I50" s="307">
        <v>-75</v>
      </c>
      <c r="J50" s="307">
        <v>-76.5</v>
      </c>
      <c r="K50" s="307">
        <v>-973.81440000000021</v>
      </c>
      <c r="L50" s="307">
        <v>-993.29068800000016</v>
      </c>
      <c r="M50" s="307">
        <v>-1013.1565017600002</v>
      </c>
      <c r="N50" s="307">
        <v>-1033.4196317952003</v>
      </c>
      <c r="O50" s="308">
        <v>-1054.0880244311043</v>
      </c>
    </row>
    <row r="51" spans="2:15">
      <c r="B51" s="150" t="s">
        <v>188</v>
      </c>
      <c r="C51" s="93"/>
      <c r="D51" s="93" t="s">
        <v>40</v>
      </c>
      <c r="E51" s="93" t="s">
        <v>52</v>
      </c>
      <c r="F51" s="306">
        <v>-2027.8785699999999</v>
      </c>
      <c r="G51" s="306">
        <v>-2080.43687</v>
      </c>
      <c r="H51" s="306">
        <v>-1236.34437</v>
      </c>
      <c r="I51" s="307">
        <v>-5392.898110599599</v>
      </c>
      <c r="J51" s="307">
        <v>-5534.9951227429183</v>
      </c>
      <c r="K51" s="307">
        <v>-5881.3580896485528</v>
      </c>
      <c r="L51" s="307">
        <v>-7415.3495073180839</v>
      </c>
      <c r="M51" s="307">
        <v>-8913.3793657623955</v>
      </c>
      <c r="N51" s="307">
        <v>-4913.2797893184788</v>
      </c>
      <c r="O51" s="308">
        <v>-5441.7844292897807</v>
      </c>
    </row>
    <row r="52" spans="2:15">
      <c r="B52" s="204" t="s">
        <v>189</v>
      </c>
      <c r="C52" s="198"/>
      <c r="D52" s="198" t="s">
        <v>40</v>
      </c>
      <c r="E52" s="198" t="s">
        <v>52</v>
      </c>
      <c r="F52" s="306">
        <v>-160.48913999999999</v>
      </c>
      <c r="G52" s="306">
        <v>-280.57574</v>
      </c>
      <c r="H52" s="306">
        <v>-287.89359999999999</v>
      </c>
      <c r="I52" s="307">
        <v>-325.25968435003045</v>
      </c>
      <c r="J52" s="307">
        <v>-336.91197834826119</v>
      </c>
      <c r="K52" s="307">
        <v>-338.40017559777175</v>
      </c>
      <c r="L52" s="307">
        <v>-345.16817910972719</v>
      </c>
      <c r="M52" s="307">
        <v>-352.07154269192171</v>
      </c>
      <c r="N52" s="307">
        <v>-359.11297354576016</v>
      </c>
      <c r="O52" s="308">
        <v>-366.29523301667541</v>
      </c>
    </row>
    <row r="53" spans="2:15">
      <c r="B53" s="204" t="s">
        <v>190</v>
      </c>
      <c r="C53" s="198"/>
      <c r="D53" s="198" t="s">
        <v>40</v>
      </c>
      <c r="E53" s="198" t="s">
        <v>52</v>
      </c>
      <c r="F53" s="306">
        <v>-412.73894999999999</v>
      </c>
      <c r="G53" s="306">
        <v>-2137.97417</v>
      </c>
      <c r="H53" s="306">
        <v>-75.616799999999998</v>
      </c>
      <c r="I53" s="307">
        <v>0</v>
      </c>
      <c r="J53" s="307">
        <v>0</v>
      </c>
      <c r="K53" s="307">
        <v>0</v>
      </c>
      <c r="L53" s="307">
        <v>0</v>
      </c>
      <c r="M53" s="307">
        <v>0</v>
      </c>
      <c r="N53" s="307">
        <v>0</v>
      </c>
      <c r="O53" s="308">
        <v>0</v>
      </c>
    </row>
    <row r="54" spans="2:15">
      <c r="B54" s="204" t="s">
        <v>191</v>
      </c>
      <c r="C54" s="198"/>
      <c r="D54" s="198" t="s">
        <v>40</v>
      </c>
      <c r="E54" s="198" t="s">
        <v>52</v>
      </c>
      <c r="F54" s="306">
        <v>-43</v>
      </c>
      <c r="G54" s="306">
        <v>-50.187829999999998</v>
      </c>
      <c r="H54" s="306">
        <v>-72.651420000000002</v>
      </c>
      <c r="I54" s="307">
        <v>-75</v>
      </c>
      <c r="J54" s="307">
        <v>-77.686844056968425</v>
      </c>
      <c r="K54" s="307">
        <v>-78.030000000000015</v>
      </c>
      <c r="L54" s="307">
        <v>-79.590600000000009</v>
      </c>
      <c r="M54" s="307">
        <v>-81.182412000000014</v>
      </c>
      <c r="N54" s="307">
        <v>-82.806060240000022</v>
      </c>
      <c r="O54" s="308">
        <v>-84.462181444800024</v>
      </c>
    </row>
    <row r="55" spans="2:15">
      <c r="B55" s="204" t="s">
        <v>192</v>
      </c>
      <c r="C55" s="198"/>
      <c r="D55" s="198" t="s">
        <v>40</v>
      </c>
      <c r="E55" s="198" t="s">
        <v>52</v>
      </c>
      <c r="F55" s="306">
        <v>0</v>
      </c>
      <c r="G55" s="306">
        <v>0</v>
      </c>
      <c r="H55" s="306">
        <v>-80.864829999999998</v>
      </c>
      <c r="I55" s="307">
        <v>-135</v>
      </c>
      <c r="J55" s="307">
        <v>-139.83631930254316</v>
      </c>
      <c r="K55" s="307">
        <v>-140.45400000000004</v>
      </c>
      <c r="L55" s="307">
        <v>-143.26308000000003</v>
      </c>
      <c r="M55" s="307">
        <v>-146.12834160000003</v>
      </c>
      <c r="N55" s="307">
        <v>-149.05090843200003</v>
      </c>
      <c r="O55" s="308">
        <v>-152.03192660064005</v>
      </c>
    </row>
    <row r="56" spans="2:15">
      <c r="B56" s="204" t="s">
        <v>193</v>
      </c>
      <c r="C56" s="198"/>
      <c r="D56" s="198" t="s">
        <v>40</v>
      </c>
      <c r="E56" s="198" t="s">
        <v>52</v>
      </c>
      <c r="F56" s="306">
        <v>-1.6452400000000003</v>
      </c>
      <c r="G56" s="306">
        <v>-1.68529</v>
      </c>
      <c r="H56" s="306">
        <v>-1.716</v>
      </c>
      <c r="I56" s="307">
        <v>-1452.2439999999999</v>
      </c>
      <c r="J56" s="307">
        <v>-1.8763371969657774</v>
      </c>
      <c r="K56" s="307">
        <v>-1.8846252960395133</v>
      </c>
      <c r="L56" s="307">
        <v>-1.9223178019603036</v>
      </c>
      <c r="M56" s="307">
        <v>-1.9607641579995096</v>
      </c>
      <c r="N56" s="307">
        <v>-1.9999794411595</v>
      </c>
      <c r="O56" s="308">
        <v>-2.0399790299826899</v>
      </c>
    </row>
    <row r="57" spans="2:15">
      <c r="B57" s="204" t="s">
        <v>194</v>
      </c>
      <c r="C57" s="198"/>
      <c r="D57" s="198" t="s">
        <v>40</v>
      </c>
      <c r="E57" s="198" t="s">
        <v>52</v>
      </c>
      <c r="F57" s="306">
        <v>0</v>
      </c>
      <c r="G57" s="306">
        <v>0</v>
      </c>
      <c r="H57" s="306">
        <v>0</v>
      </c>
      <c r="I57" s="307">
        <v>-113.789</v>
      </c>
      <c r="J57" s="307">
        <v>-156.02203247673853</v>
      </c>
      <c r="K57" s="307">
        <v>0</v>
      </c>
      <c r="L57" s="307">
        <v>0</v>
      </c>
      <c r="M57" s="307">
        <v>0</v>
      </c>
      <c r="N57" s="307">
        <v>0</v>
      </c>
      <c r="O57" s="308">
        <v>0</v>
      </c>
    </row>
    <row r="58" spans="2:15">
      <c r="B58" s="204" t="s">
        <v>195</v>
      </c>
      <c r="C58" s="198"/>
      <c r="D58" s="198" t="s">
        <v>40</v>
      </c>
      <c r="E58" s="198" t="s">
        <v>52</v>
      </c>
      <c r="F58" s="306">
        <v>0</v>
      </c>
      <c r="G58" s="306">
        <v>0</v>
      </c>
      <c r="H58" s="306">
        <v>0</v>
      </c>
      <c r="I58" s="307">
        <v>0</v>
      </c>
      <c r="J58" s="307">
        <v>-188.80686228949853</v>
      </c>
      <c r="K58" s="307">
        <v>0</v>
      </c>
      <c r="L58" s="307">
        <v>0</v>
      </c>
      <c r="M58" s="307">
        <v>0</v>
      </c>
      <c r="N58" s="307">
        <v>0</v>
      </c>
      <c r="O58" s="308">
        <v>0</v>
      </c>
    </row>
    <row r="59" spans="2:15">
      <c r="B59" s="204" t="s">
        <v>196</v>
      </c>
      <c r="C59" s="198"/>
      <c r="D59" s="198" t="s">
        <v>40</v>
      </c>
      <c r="E59" s="198" t="s">
        <v>52</v>
      </c>
      <c r="F59" s="306">
        <v>0</v>
      </c>
      <c r="G59" s="306">
        <v>0</v>
      </c>
      <c r="H59" s="306">
        <v>0</v>
      </c>
      <c r="I59" s="307">
        <v>-33.133690000000001</v>
      </c>
      <c r="J59" s="307">
        <v>-300.04237014757416</v>
      </c>
      <c r="K59" s="307">
        <v>0</v>
      </c>
      <c r="L59" s="307">
        <v>0</v>
      </c>
      <c r="M59" s="307">
        <v>0</v>
      </c>
      <c r="N59" s="307">
        <v>0</v>
      </c>
      <c r="O59" s="308">
        <v>0</v>
      </c>
    </row>
    <row r="60" spans="2:15">
      <c r="B60" s="204" t="s">
        <v>197</v>
      </c>
      <c r="C60" s="198"/>
      <c r="D60" s="198" t="s">
        <v>40</v>
      </c>
      <c r="E60" s="198" t="s">
        <v>52</v>
      </c>
      <c r="F60" s="306">
        <v>0</v>
      </c>
      <c r="G60" s="306">
        <v>0</v>
      </c>
      <c r="H60" s="306">
        <v>0</v>
      </c>
      <c r="I60" s="307">
        <v>-1100</v>
      </c>
      <c r="J60" s="307">
        <v>-1304.0033433730466</v>
      </c>
      <c r="K60" s="307">
        <v>0</v>
      </c>
      <c r="L60" s="307">
        <v>0</v>
      </c>
      <c r="M60" s="307">
        <v>0</v>
      </c>
      <c r="N60" s="307">
        <v>0</v>
      </c>
      <c r="O60" s="308">
        <v>0</v>
      </c>
    </row>
    <row r="61" spans="2:15" s="7" customFormat="1">
      <c r="B61" s="204" t="s">
        <v>198</v>
      </c>
      <c r="C61" s="198"/>
      <c r="D61" s="198" t="s">
        <v>40</v>
      </c>
      <c r="E61" s="198" t="s">
        <v>52</v>
      </c>
      <c r="F61" s="201">
        <v>-169</v>
      </c>
      <c r="G61" s="201">
        <v>-173</v>
      </c>
      <c r="H61" s="201">
        <v>-179</v>
      </c>
      <c r="I61" s="202">
        <v>-134</v>
      </c>
      <c r="J61" s="202">
        <v>-148.12291600195314</v>
      </c>
      <c r="K61" s="202">
        <v>-148.77720000000002</v>
      </c>
      <c r="L61" s="202">
        <v>-151.75274400000004</v>
      </c>
      <c r="M61" s="202">
        <v>-154.78779888000003</v>
      </c>
      <c r="N61" s="202">
        <v>-157.88355485760005</v>
      </c>
      <c r="O61" s="203">
        <v>0</v>
      </c>
    </row>
    <row r="62" spans="2:15">
      <c r="B62" s="150"/>
      <c r="C62" s="93"/>
      <c r="D62" s="93"/>
      <c r="E62" s="93"/>
      <c r="F62" s="309"/>
      <c r="G62" s="309"/>
      <c r="H62" s="309"/>
      <c r="I62" s="309"/>
      <c r="J62" s="309"/>
      <c r="K62" s="309"/>
      <c r="L62" s="309"/>
      <c r="M62" s="309"/>
      <c r="N62" s="309"/>
      <c r="O62" s="310"/>
    </row>
    <row r="63" spans="2:15">
      <c r="B63" s="147" t="s">
        <v>199</v>
      </c>
      <c r="C63" s="93"/>
      <c r="D63" s="93" t="s">
        <v>40</v>
      </c>
      <c r="E63" s="93" t="s">
        <v>52</v>
      </c>
      <c r="F63" s="311">
        <f t="shared" ref="F63:O63" si="3">SUM(F42:F62)</f>
        <v>-15772.903572043962</v>
      </c>
      <c r="G63" s="311">
        <f t="shared" si="3"/>
        <v>-17909.520188999461</v>
      </c>
      <c r="H63" s="311">
        <f t="shared" si="3"/>
        <v>-15002.888817403409</v>
      </c>
      <c r="I63" s="311">
        <f t="shared" si="3"/>
        <v>-22170.131436486914</v>
      </c>
      <c r="J63" s="311">
        <f t="shared" si="3"/>
        <v>-21811.683031124401</v>
      </c>
      <c r="K63" s="311">
        <f t="shared" si="3"/>
        <v>-25227.905381923232</v>
      </c>
      <c r="L63" s="311">
        <f t="shared" si="3"/>
        <v>-27512.597491072291</v>
      </c>
      <c r="M63" s="311">
        <f t="shared" si="3"/>
        <v>-29752.502927702368</v>
      </c>
      <c r="N63" s="311">
        <f t="shared" si="3"/>
        <v>-26796.822669405996</v>
      </c>
      <c r="O63" s="312">
        <f t="shared" si="3"/>
        <v>-27168.551930422836</v>
      </c>
    </row>
    <row r="64" spans="2:15">
      <c r="B64" s="150"/>
      <c r="C64" s="93"/>
      <c r="D64" s="93"/>
      <c r="E64" s="93"/>
      <c r="F64" s="309"/>
      <c r="G64" s="309"/>
      <c r="H64" s="309"/>
      <c r="I64" s="309"/>
      <c r="J64" s="309"/>
      <c r="K64" s="309"/>
      <c r="L64" s="309"/>
      <c r="M64" s="309"/>
      <c r="N64" s="309"/>
      <c r="O64" s="310"/>
    </row>
    <row r="65" spans="2:15">
      <c r="B65" s="147" t="s">
        <v>200</v>
      </c>
      <c r="C65" s="93"/>
      <c r="D65" s="93" t="s">
        <v>40</v>
      </c>
      <c r="E65" s="93" t="s">
        <v>52</v>
      </c>
      <c r="F65" s="311">
        <f t="shared" ref="F65:N65" si="4">F39+F63</f>
        <v>-2135.9762520439599</v>
      </c>
      <c r="G65" s="311">
        <f t="shared" si="4"/>
        <v>3644.2034210005259</v>
      </c>
      <c r="H65" s="311">
        <f t="shared" si="4"/>
        <v>11685.063430454144</v>
      </c>
      <c r="I65" s="311">
        <f t="shared" si="4"/>
        <v>14447.059479195847</v>
      </c>
      <c r="J65" s="311">
        <f t="shared" si="4"/>
        <v>-40.884314119659393</v>
      </c>
      <c r="K65" s="311">
        <f t="shared" si="4"/>
        <v>-10455.373583323813</v>
      </c>
      <c r="L65" s="311">
        <f t="shared" si="4"/>
        <v>5813.527696428424</v>
      </c>
      <c r="M65" s="311">
        <f t="shared" si="4"/>
        <v>5352.6459390253767</v>
      </c>
      <c r="N65" s="311">
        <f t="shared" si="4"/>
        <v>9766.1047082203622</v>
      </c>
      <c r="O65" s="312">
        <f>O39+O63</f>
        <v>3436.8566240390501</v>
      </c>
    </row>
    <row r="66" spans="2:15">
      <c r="B66" s="150"/>
      <c r="C66" s="93"/>
      <c r="D66" s="93"/>
      <c r="E66" s="93"/>
      <c r="F66" s="309"/>
      <c r="G66" s="309"/>
      <c r="H66" s="309"/>
      <c r="I66" s="309"/>
      <c r="J66" s="309"/>
      <c r="K66" s="309"/>
      <c r="L66" s="309"/>
      <c r="M66" s="309"/>
      <c r="N66" s="309"/>
      <c r="O66" s="310"/>
    </row>
    <row r="67" spans="2:15">
      <c r="B67" s="150" t="s">
        <v>201</v>
      </c>
      <c r="C67" s="93"/>
      <c r="D67" s="93" t="s">
        <v>40</v>
      </c>
      <c r="E67" s="93" t="s">
        <v>52</v>
      </c>
      <c r="F67" s="306">
        <v>329.08461999999997</v>
      </c>
      <c r="G67" s="306">
        <v>9.0581800000000001</v>
      </c>
      <c r="H67" s="306">
        <v>20.000299999999999</v>
      </c>
      <c r="I67" s="307">
        <v>25.046920344635712</v>
      </c>
      <c r="J67" s="307">
        <v>60.576350949510143</v>
      </c>
      <c r="K67" s="307">
        <v>2.0808312120000006E-17</v>
      </c>
      <c r="L67" s="307">
        <v>2.12244783624E-23</v>
      </c>
      <c r="M67" s="307">
        <v>8.8735074724349108</v>
      </c>
      <c r="N67" s="307">
        <v>25.424289396859304</v>
      </c>
      <c r="O67" s="308">
        <v>30.516865630045743</v>
      </c>
    </row>
    <row r="68" spans="2:15">
      <c r="B68" s="150" t="s">
        <v>202</v>
      </c>
      <c r="C68" s="93"/>
      <c r="D68" s="93" t="s">
        <v>40</v>
      </c>
      <c r="E68" s="93" t="s">
        <v>52</v>
      </c>
      <c r="F68" s="306">
        <v>-388.32173</v>
      </c>
      <c r="G68" s="306">
        <v>-482.1388</v>
      </c>
      <c r="H68" s="306">
        <v>-647.52929999999992</v>
      </c>
      <c r="I68" s="307">
        <v>-804.31372021415086</v>
      </c>
      <c r="J68" s="307">
        <v>-1651.795045087671</v>
      </c>
      <c r="K68" s="307">
        <v>-1295.1347802681366</v>
      </c>
      <c r="L68" s="307">
        <v>-1347.8009019423923</v>
      </c>
      <c r="M68" s="307">
        <v>-1277.8524332813497</v>
      </c>
      <c r="N68" s="307">
        <v>-990.5504770566007</v>
      </c>
      <c r="O68" s="308">
        <v>-781.21205862579041</v>
      </c>
    </row>
    <row r="69" spans="2:15">
      <c r="B69" s="150" t="s">
        <v>474</v>
      </c>
      <c r="C69" s="93"/>
      <c r="D69" s="93" t="s">
        <v>40</v>
      </c>
      <c r="E69" s="93" t="s">
        <v>52</v>
      </c>
      <c r="F69" s="306">
        <v>0</v>
      </c>
      <c r="G69" s="306">
        <v>0</v>
      </c>
      <c r="H69" s="306">
        <v>-93.007720000000006</v>
      </c>
      <c r="I69" s="307">
        <v>-150</v>
      </c>
      <c r="J69" s="307">
        <v>0</v>
      </c>
      <c r="K69" s="307">
        <v>0</v>
      </c>
      <c r="L69" s="307">
        <v>0</v>
      </c>
      <c r="M69" s="307">
        <v>0</v>
      </c>
      <c r="N69" s="307">
        <v>0</v>
      </c>
      <c r="O69" s="308">
        <v>0</v>
      </c>
    </row>
    <row r="70" spans="2:15">
      <c r="B70" s="150"/>
      <c r="C70" s="93"/>
      <c r="D70" s="93"/>
      <c r="E70" s="93"/>
      <c r="F70" s="309"/>
      <c r="G70" s="309"/>
      <c r="H70" s="309"/>
      <c r="I70" s="309"/>
      <c r="J70" s="309"/>
      <c r="K70" s="309"/>
      <c r="L70" s="309"/>
      <c r="M70" s="309"/>
      <c r="N70" s="309"/>
      <c r="O70" s="310"/>
    </row>
    <row r="71" spans="2:15">
      <c r="B71" s="150" t="s">
        <v>204</v>
      </c>
      <c r="C71" s="93"/>
      <c r="D71" s="93" t="s">
        <v>40</v>
      </c>
      <c r="E71" s="93" t="s">
        <v>52</v>
      </c>
      <c r="F71" s="311">
        <f t="shared" ref="F71:O71" si="5">SUM(F67:F69)</f>
        <v>-59.23711000000003</v>
      </c>
      <c r="G71" s="311">
        <f t="shared" si="5"/>
        <v>-473.08062000000001</v>
      </c>
      <c r="H71" s="311">
        <f t="shared" si="5"/>
        <v>-720.53671999999983</v>
      </c>
      <c r="I71" s="311">
        <f t="shared" si="5"/>
        <v>-929.26679986951513</v>
      </c>
      <c r="J71" s="311">
        <f t="shared" si="5"/>
        <v>-1591.2186941381608</v>
      </c>
      <c r="K71" s="311">
        <f t="shared" si="5"/>
        <v>-1295.1347802681366</v>
      </c>
      <c r="L71" s="311">
        <f t="shared" si="5"/>
        <v>-1347.8009019423923</v>
      </c>
      <c r="M71" s="311">
        <f t="shared" si="5"/>
        <v>-1268.9789258089147</v>
      </c>
      <c r="N71" s="311">
        <f t="shared" si="5"/>
        <v>-965.12618765974139</v>
      </c>
      <c r="O71" s="312">
        <f t="shared" si="5"/>
        <v>-750.69519299574472</v>
      </c>
    </row>
    <row r="72" spans="2:15">
      <c r="B72" s="150"/>
      <c r="C72" s="93"/>
      <c r="D72" s="93"/>
      <c r="E72" s="93"/>
      <c r="F72" s="309"/>
      <c r="G72" s="309"/>
      <c r="H72" s="309"/>
      <c r="I72" s="309"/>
      <c r="J72" s="309"/>
      <c r="K72" s="309"/>
      <c r="L72" s="309"/>
      <c r="M72" s="309"/>
      <c r="N72" s="309"/>
      <c r="O72" s="310"/>
    </row>
    <row r="73" spans="2:15">
      <c r="B73" s="147" t="s">
        <v>205</v>
      </c>
      <c r="C73" s="93"/>
      <c r="D73" s="93" t="s">
        <v>40</v>
      </c>
      <c r="E73" s="93" t="s">
        <v>52</v>
      </c>
      <c r="F73" s="311">
        <f t="shared" ref="F73:O73" si="6">F65+F71</f>
        <v>-2195.2133620439599</v>
      </c>
      <c r="G73" s="311">
        <f t="shared" si="6"/>
        <v>3171.1228010005257</v>
      </c>
      <c r="H73" s="311">
        <f t="shared" si="6"/>
        <v>10964.526710454144</v>
      </c>
      <c r="I73" s="311">
        <f t="shared" si="6"/>
        <v>13517.792679326332</v>
      </c>
      <c r="J73" s="311">
        <f t="shared" si="6"/>
        <v>-1632.1030082578202</v>
      </c>
      <c r="K73" s="311">
        <f t="shared" si="6"/>
        <v>-11750.508363591951</v>
      </c>
      <c r="L73" s="311">
        <f t="shared" si="6"/>
        <v>4465.7267944860314</v>
      </c>
      <c r="M73" s="311">
        <f t="shared" si="6"/>
        <v>4083.6670132164618</v>
      </c>
      <c r="N73" s="311">
        <f t="shared" si="6"/>
        <v>8800.9785205606204</v>
      </c>
      <c r="O73" s="312">
        <f t="shared" si="6"/>
        <v>2686.1614310433051</v>
      </c>
    </row>
    <row r="74" spans="2:15">
      <c r="B74" s="147"/>
      <c r="C74" s="93"/>
      <c r="D74" s="93"/>
      <c r="E74" s="93"/>
      <c r="F74" s="309"/>
      <c r="G74" s="309"/>
      <c r="H74" s="309"/>
      <c r="I74" s="309"/>
      <c r="J74" s="309"/>
      <c r="K74" s="309"/>
      <c r="L74" s="309"/>
      <c r="M74" s="309"/>
      <c r="N74" s="309"/>
      <c r="O74" s="310"/>
    </row>
    <row r="75" spans="2:15">
      <c r="B75" s="147" t="s">
        <v>206</v>
      </c>
      <c r="C75" s="93"/>
      <c r="D75" s="93" t="s">
        <v>40</v>
      </c>
      <c r="E75" s="93" t="s">
        <v>52</v>
      </c>
      <c r="F75" s="306">
        <v>146.86099999999999</v>
      </c>
      <c r="G75" s="306">
        <v>-947.16096000000005</v>
      </c>
      <c r="H75" s="306">
        <v>-1088.3150000000001</v>
      </c>
      <c r="I75" s="307">
        <v>-2720.064071217178</v>
      </c>
      <c r="J75" s="307">
        <v>513.60697822173097</v>
      </c>
      <c r="K75" s="307">
        <v>2086.8588319590158</v>
      </c>
      <c r="L75" s="307">
        <v>-668.11569671128461</v>
      </c>
      <c r="M75" s="307">
        <v>-601.34437672843205</v>
      </c>
      <c r="N75" s="307">
        <v>-1401.4297526665632</v>
      </c>
      <c r="O75" s="308">
        <v>-360.01611553203867</v>
      </c>
    </row>
    <row r="76" spans="2:15" ht="14.65" thickBot="1">
      <c r="B76" s="164"/>
      <c r="C76" s="313"/>
      <c r="D76" s="313"/>
      <c r="E76" s="313"/>
      <c r="F76" s="314"/>
      <c r="G76" s="314"/>
      <c r="H76" s="314"/>
      <c r="I76" s="314"/>
      <c r="J76" s="314"/>
      <c r="K76" s="314"/>
      <c r="L76" s="314"/>
      <c r="M76" s="314"/>
      <c r="N76" s="314"/>
      <c r="O76" s="315"/>
    </row>
  </sheetData>
  <mergeCells count="6">
    <mergeCell ref="K11:O11"/>
    <mergeCell ref="C11:C12"/>
    <mergeCell ref="D11:D12"/>
    <mergeCell ref="E11:E12"/>
    <mergeCell ref="F11:H11"/>
    <mergeCell ref="I11:J11"/>
  </mergeCells>
  <pageMargins left="0.70866141732283472" right="0.70866141732283472" top="0.74803149606299213" bottom="0.74803149606299213" header="0.31496062992125984" footer="0.31496062992125984"/>
  <pageSetup paperSize="9" scale="75" fitToHeight="2" orientation="landscape" r:id="rId1"/>
  <rowBreaks count="1" manualBreakCount="1">
    <brk id="40" min="1" max="14"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tint="0.59999389629810485"/>
    <pageSetUpPr fitToPage="1"/>
  </sheetPr>
  <dimension ref="B9:R92"/>
  <sheetViews>
    <sheetView showGridLines="0" topLeftCell="A7" zoomScaleNormal="100" workbookViewId="0">
      <pane xSplit="5" ySplit="8" topLeftCell="F37" activePane="bottomRight" state="frozen"/>
      <selection activeCell="I15" sqref="I15"/>
      <selection pane="topRight" activeCell="I15" sqref="I15"/>
      <selection pane="bottomLeft" activeCell="I15" sqref="I15"/>
      <selection pane="bottomRight" activeCell="F63" sqref="F63"/>
    </sheetView>
  </sheetViews>
  <sheetFormatPr defaultColWidth="9" defaultRowHeight="14.25"/>
  <cols>
    <col min="1" max="1" width="0" style="7" hidden="1" customWidth="1"/>
    <col min="2" max="2" width="48.1328125" style="7" customWidth="1"/>
    <col min="3" max="5" width="10.46484375" style="7" customWidth="1"/>
    <col min="6" max="6" width="9.46484375" style="7" bestFit="1" customWidth="1"/>
    <col min="7" max="7" width="9" style="7"/>
    <col min="8" max="8" width="9.46484375" style="7" bestFit="1" customWidth="1"/>
    <col min="9" max="15" width="10.1328125" style="7" bestFit="1" customWidth="1"/>
    <col min="16" max="16384" width="9" style="7"/>
  </cols>
  <sheetData>
    <row r="9" spans="2:15" ht="23.25">
      <c r="B9" s="6" t="s">
        <v>160</v>
      </c>
    </row>
    <row r="10" spans="2:15" ht="14.65" thickBot="1"/>
    <row r="11" spans="2:15" ht="15" customHeight="1">
      <c r="B11" s="187" t="s">
        <v>161</v>
      </c>
      <c r="C11" s="420" t="s">
        <v>162</v>
      </c>
      <c r="D11" s="420" t="s">
        <v>10</v>
      </c>
      <c r="E11" s="420" t="s">
        <v>11</v>
      </c>
      <c r="F11" s="417" t="s">
        <v>127</v>
      </c>
      <c r="G11" s="418"/>
      <c r="H11" s="422"/>
      <c r="I11" s="417" t="s">
        <v>128</v>
      </c>
      <c r="J11" s="422"/>
      <c r="K11" s="417" t="s">
        <v>129</v>
      </c>
      <c r="L11" s="418"/>
      <c r="M11" s="418"/>
      <c r="N11" s="418"/>
      <c r="O11" s="419"/>
    </row>
    <row r="12" spans="2:15">
      <c r="B12" s="188"/>
      <c r="C12" s="421"/>
      <c r="D12" s="421"/>
      <c r="E12" s="421"/>
      <c r="F12" s="189" t="s">
        <v>0</v>
      </c>
      <c r="G12" s="189" t="s">
        <v>1</v>
      </c>
      <c r="H12" s="189" t="s">
        <v>2</v>
      </c>
      <c r="I12" s="190" t="s">
        <v>3</v>
      </c>
      <c r="J12" s="191" t="s">
        <v>4</v>
      </c>
      <c r="K12" s="191" t="s">
        <v>5</v>
      </c>
      <c r="L12" s="191" t="s">
        <v>6</v>
      </c>
      <c r="M12" s="191" t="s">
        <v>7</v>
      </c>
      <c r="N12" s="191" t="s">
        <v>8</v>
      </c>
      <c r="O12" s="192" t="s">
        <v>9</v>
      </c>
    </row>
    <row r="13" spans="2:15">
      <c r="B13" s="193"/>
      <c r="C13" s="194"/>
      <c r="D13" s="194"/>
      <c r="E13" s="194"/>
      <c r="F13" s="195"/>
      <c r="G13" s="195"/>
      <c r="H13" s="195"/>
      <c r="I13" s="195"/>
      <c r="J13" s="195"/>
      <c r="K13" s="195"/>
      <c r="L13" s="195"/>
      <c r="M13" s="195"/>
      <c r="N13" s="195"/>
      <c r="O13" s="196"/>
    </row>
    <row r="14" spans="2:15">
      <c r="B14" s="197" t="s">
        <v>163</v>
      </c>
      <c r="C14" s="198"/>
      <c r="D14" s="198"/>
      <c r="E14" s="198"/>
      <c r="O14" s="199"/>
    </row>
    <row r="15" spans="2:15">
      <c r="B15" s="200" t="s">
        <v>164</v>
      </c>
      <c r="C15" s="198"/>
      <c r="D15" s="198" t="s">
        <v>40</v>
      </c>
      <c r="E15" s="198" t="s">
        <v>52</v>
      </c>
      <c r="F15" s="201">
        <v>33217.811909999997</v>
      </c>
      <c r="G15" s="201">
        <v>46852.205969999995</v>
      </c>
      <c r="H15" s="201">
        <v>53640.225017857578</v>
      </c>
      <c r="I15" s="202">
        <v>82060.495860711919</v>
      </c>
      <c r="J15" s="202">
        <v>54505.144852012323</v>
      </c>
      <c r="K15" s="202">
        <v>54677.55019775941</v>
      </c>
      <c r="L15" s="202">
        <v>84383.428549759119</v>
      </c>
      <c r="M15" s="202">
        <v>88537.077116849396</v>
      </c>
      <c r="N15" s="202">
        <v>91384.394275476137</v>
      </c>
      <c r="O15" s="203">
        <v>86841.970162787242</v>
      </c>
    </row>
    <row r="16" spans="2:15">
      <c r="B16" s="200" t="s">
        <v>165</v>
      </c>
      <c r="C16" s="198"/>
      <c r="D16" s="198" t="s">
        <v>40</v>
      </c>
      <c r="E16" s="198" t="s">
        <v>52</v>
      </c>
      <c r="F16" s="201">
        <v>33794.973969999999</v>
      </c>
      <c r="G16" s="201">
        <v>32922.405579999999</v>
      </c>
      <c r="H16" s="201">
        <v>43209.344809999995</v>
      </c>
      <c r="I16" s="202">
        <v>47753</v>
      </c>
      <c r="J16" s="202">
        <v>52438.619738453686</v>
      </c>
      <c r="K16" s="202">
        <v>46684.82880000001</v>
      </c>
      <c r="L16" s="202">
        <v>48149.129376000004</v>
      </c>
      <c r="M16" s="202">
        <v>49328.598395520006</v>
      </c>
      <c r="N16" s="202">
        <v>50370.374403590409</v>
      </c>
      <c r="O16" s="203">
        <v>51377.78189166222</v>
      </c>
    </row>
    <row r="17" spans="2:15">
      <c r="B17" s="200" t="s">
        <v>166</v>
      </c>
      <c r="C17" s="198"/>
      <c r="D17" s="198" t="s">
        <v>40</v>
      </c>
      <c r="E17" s="198" t="s">
        <v>52</v>
      </c>
      <c r="F17" s="201">
        <v>23244.420739999998</v>
      </c>
      <c r="G17" s="201">
        <v>12018.10216</v>
      </c>
      <c r="H17" s="201">
        <v>12467.697769999999</v>
      </c>
      <c r="I17" s="202">
        <v>18</v>
      </c>
      <c r="J17" s="202">
        <v>0</v>
      </c>
      <c r="K17" s="202">
        <v>0</v>
      </c>
      <c r="L17" s="202">
        <v>0</v>
      </c>
      <c r="M17" s="202">
        <v>0</v>
      </c>
      <c r="N17" s="202">
        <v>0</v>
      </c>
      <c r="O17" s="203">
        <v>0</v>
      </c>
    </row>
    <row r="18" spans="2:15" ht="16.350000000000001" customHeight="1">
      <c r="B18" s="200" t="s">
        <v>167</v>
      </c>
      <c r="C18" s="198"/>
      <c r="D18" s="198" t="s">
        <v>40</v>
      </c>
      <c r="E18" s="198" t="s">
        <v>52</v>
      </c>
      <c r="F18" s="201"/>
      <c r="G18" s="201"/>
      <c r="H18" s="201"/>
      <c r="I18" s="202"/>
      <c r="J18" s="202"/>
      <c r="K18" s="202"/>
      <c r="L18" s="202"/>
      <c r="M18" s="202"/>
      <c r="N18" s="202"/>
      <c r="O18" s="203"/>
    </row>
    <row r="19" spans="2:15" ht="15.75" customHeight="1">
      <c r="B19" s="200" t="s">
        <v>168</v>
      </c>
      <c r="C19" s="198"/>
      <c r="D19" s="198" t="s">
        <v>40</v>
      </c>
      <c r="E19" s="198" t="s">
        <v>52</v>
      </c>
      <c r="F19" s="201">
        <v>917.4185500000001</v>
      </c>
      <c r="G19" s="201">
        <v>1688.452</v>
      </c>
      <c r="H19" s="201">
        <v>909.32249999999999</v>
      </c>
      <c r="I19" s="202">
        <v>572</v>
      </c>
      <c r="J19" s="202">
        <v>828.65966994099654</v>
      </c>
      <c r="K19" s="202">
        <v>832.32000000000016</v>
      </c>
      <c r="L19" s="202">
        <v>848.96640000000014</v>
      </c>
      <c r="M19" s="202">
        <v>865.94572800000014</v>
      </c>
      <c r="N19" s="202">
        <v>883.2646425600002</v>
      </c>
      <c r="O19" s="203">
        <v>900.92993541120018</v>
      </c>
    </row>
    <row r="20" spans="2:15" ht="14.1" customHeight="1">
      <c r="B20" s="200" t="s">
        <v>169</v>
      </c>
      <c r="C20" s="198"/>
      <c r="D20" s="198" t="s">
        <v>40</v>
      </c>
      <c r="E20" s="198" t="s">
        <v>52</v>
      </c>
      <c r="F20" s="201"/>
      <c r="G20" s="201"/>
      <c r="H20" s="201"/>
      <c r="I20" s="202"/>
      <c r="J20" s="202"/>
      <c r="K20" s="202"/>
      <c r="L20" s="202"/>
      <c r="M20" s="202"/>
      <c r="N20" s="202"/>
      <c r="O20" s="203"/>
    </row>
    <row r="21" spans="2:15">
      <c r="B21" s="200" t="s">
        <v>170</v>
      </c>
      <c r="C21" s="198"/>
      <c r="D21" s="198" t="s">
        <v>40</v>
      </c>
      <c r="E21" s="198" t="s">
        <v>52</v>
      </c>
      <c r="F21" s="201">
        <v>31.671680000000002</v>
      </c>
      <c r="G21" s="201">
        <v>29.414400000000001</v>
      </c>
      <c r="H21" s="201">
        <v>31.786909999999999</v>
      </c>
      <c r="I21" s="202">
        <v>30</v>
      </c>
      <c r="J21" s="202">
        <v>31.074737622787371</v>
      </c>
      <c r="K21" s="202">
        <v>31.212000000000007</v>
      </c>
      <c r="L21" s="202">
        <v>31.836240000000004</v>
      </c>
      <c r="M21" s="202">
        <v>32.472964800000007</v>
      </c>
      <c r="N21" s="202">
        <v>33.12242409600001</v>
      </c>
      <c r="O21" s="203">
        <v>33.784872577920012</v>
      </c>
    </row>
    <row r="22" spans="2:15">
      <c r="B22" s="200" t="s">
        <v>171</v>
      </c>
      <c r="C22" s="198"/>
      <c r="D22" s="198" t="s">
        <v>40</v>
      </c>
      <c r="E22" s="198" t="s">
        <v>52</v>
      </c>
      <c r="F22" s="201">
        <v>1805.8933100000002</v>
      </c>
      <c r="G22" s="201"/>
      <c r="H22" s="201"/>
      <c r="I22" s="202"/>
      <c r="J22" s="202"/>
      <c r="K22" s="202"/>
      <c r="L22" s="202"/>
      <c r="M22" s="202"/>
      <c r="N22" s="202"/>
      <c r="O22" s="203"/>
    </row>
    <row r="23" spans="2:15">
      <c r="B23" s="204" t="s">
        <v>172</v>
      </c>
      <c r="C23" s="198"/>
      <c r="D23" s="198" t="s">
        <v>40</v>
      </c>
      <c r="E23" s="198" t="s">
        <v>52</v>
      </c>
      <c r="F23" s="201">
        <v>2060.8345199999999</v>
      </c>
      <c r="G23" s="201">
        <v>4714.6364999999996</v>
      </c>
      <c r="H23" s="201">
        <v>3044.3442300000002</v>
      </c>
      <c r="I23" s="202">
        <v>0</v>
      </c>
      <c r="J23" s="202">
        <v>0</v>
      </c>
      <c r="K23" s="202">
        <v>0</v>
      </c>
      <c r="L23" s="202">
        <v>0</v>
      </c>
      <c r="M23" s="202">
        <v>0</v>
      </c>
      <c r="N23" s="202">
        <v>0</v>
      </c>
      <c r="O23" s="203">
        <v>0</v>
      </c>
    </row>
    <row r="24" spans="2:15">
      <c r="B24" s="200" t="s">
        <v>173</v>
      </c>
      <c r="C24" s="198"/>
      <c r="D24" s="198" t="s">
        <v>40</v>
      </c>
      <c r="E24" s="198" t="s">
        <v>52</v>
      </c>
      <c r="F24" s="201"/>
      <c r="G24" s="201"/>
      <c r="H24" s="201"/>
      <c r="I24" s="202"/>
      <c r="J24" s="202"/>
      <c r="K24" s="202"/>
      <c r="L24" s="202"/>
      <c r="M24" s="202"/>
      <c r="N24" s="202"/>
      <c r="O24" s="203"/>
    </row>
    <row r="25" spans="2:15">
      <c r="B25" s="200"/>
      <c r="C25" s="198"/>
      <c r="D25" s="198"/>
      <c r="E25" s="198"/>
      <c r="F25" s="205"/>
      <c r="G25" s="205"/>
      <c r="H25" s="205"/>
      <c r="I25" s="206"/>
      <c r="J25" s="206"/>
      <c r="K25" s="206"/>
      <c r="L25" s="206"/>
      <c r="M25" s="206"/>
      <c r="N25" s="206"/>
      <c r="O25" s="207"/>
    </row>
    <row r="26" spans="2:15">
      <c r="B26" s="197" t="s">
        <v>174</v>
      </c>
      <c r="C26" s="198"/>
      <c r="D26" s="198"/>
      <c r="E26" s="198"/>
      <c r="F26" s="208">
        <f t="shared" ref="F26:O26" si="0">SUM(F15:F25)</f>
        <v>95073.024680000002</v>
      </c>
      <c r="G26" s="208">
        <f t="shared" si="0"/>
        <v>98225.216609999989</v>
      </c>
      <c r="H26" s="208">
        <f t="shared" si="0"/>
        <v>113302.72123785756</v>
      </c>
      <c r="I26" s="209">
        <f t="shared" si="0"/>
        <v>130433.49586071192</v>
      </c>
      <c r="J26" s="209">
        <f t="shared" si="0"/>
        <v>107803.4989980298</v>
      </c>
      <c r="K26" s="209">
        <f t="shared" si="0"/>
        <v>102225.91099775943</v>
      </c>
      <c r="L26" s="209">
        <f t="shared" si="0"/>
        <v>133413.36056575913</v>
      </c>
      <c r="M26" s="209">
        <f t="shared" si="0"/>
        <v>138764.09420516939</v>
      </c>
      <c r="N26" s="209">
        <f t="shared" si="0"/>
        <v>142671.15574572256</v>
      </c>
      <c r="O26" s="210">
        <f t="shared" si="0"/>
        <v>139154.4668624386</v>
      </c>
    </row>
    <row r="27" spans="2:15">
      <c r="B27" s="200"/>
      <c r="C27" s="198"/>
      <c r="D27" s="198"/>
      <c r="E27" s="198"/>
      <c r="F27" s="205"/>
      <c r="G27" s="205"/>
      <c r="H27" s="205"/>
      <c r="I27" s="206"/>
      <c r="J27" s="206"/>
      <c r="K27" s="206"/>
      <c r="L27" s="206"/>
      <c r="M27" s="206"/>
      <c r="N27" s="206"/>
      <c r="O27" s="206"/>
    </row>
    <row r="28" spans="2:15">
      <c r="B28" s="197" t="s">
        <v>175</v>
      </c>
      <c r="C28" s="198"/>
      <c r="D28" s="198"/>
      <c r="E28" s="198"/>
      <c r="F28" s="205"/>
      <c r="G28" s="205"/>
      <c r="H28" s="205"/>
      <c r="I28" s="206"/>
      <c r="J28" s="206"/>
      <c r="K28" s="330"/>
      <c r="L28" s="330"/>
      <c r="M28" s="330"/>
      <c r="N28" s="330"/>
      <c r="O28" s="330"/>
    </row>
    <row r="29" spans="2:15">
      <c r="B29" s="200" t="s">
        <v>176</v>
      </c>
      <c r="C29" s="198"/>
      <c r="D29" s="198" t="s">
        <v>40</v>
      </c>
      <c r="E29" s="198" t="s">
        <v>52</v>
      </c>
      <c r="F29" s="201">
        <v>-18952.01713</v>
      </c>
      <c r="G29" s="201">
        <v>-26342.658079999997</v>
      </c>
      <c r="H29" s="201">
        <v>-27618.650170000001</v>
      </c>
      <c r="I29" s="202">
        <v>-44489.900858394423</v>
      </c>
      <c r="J29" s="202">
        <v>-33107.242986481026</v>
      </c>
      <c r="K29" s="202">
        <v>-40279.562399160008</v>
      </c>
      <c r="L29" s="202">
        <v>-51439.338242258404</v>
      </c>
      <c r="M29" s="202">
        <v>-53821.603827721621</v>
      </c>
      <c r="N29" s="202">
        <v>-55218.935987001787</v>
      </c>
      <c r="O29" s="203">
        <v>-56641.9800792604</v>
      </c>
    </row>
    <row r="30" spans="2:15">
      <c r="B30" s="200" t="s">
        <v>165</v>
      </c>
      <c r="C30" s="198"/>
      <c r="D30" s="198" t="s">
        <v>40</v>
      </c>
      <c r="E30" s="198" t="s">
        <v>52</v>
      </c>
      <c r="F30" s="201">
        <v>-36500.000039999999</v>
      </c>
      <c r="G30" s="201">
        <v>-30108.383999999998</v>
      </c>
      <c r="H30" s="201">
        <v>-36901.847999999998</v>
      </c>
      <c r="I30" s="202">
        <v>-43979.16</v>
      </c>
      <c r="J30" s="202">
        <v>-46925.961284171208</v>
      </c>
      <c r="K30" s="202">
        <v>-41147.820000000007</v>
      </c>
      <c r="L30" s="202">
        <v>-42501.380400000009</v>
      </c>
      <c r="M30" s="202">
        <v>-43567.894440000011</v>
      </c>
      <c r="N30" s="202">
        <v>-44494.456368960011</v>
      </c>
      <c r="O30" s="203">
        <v>-45384.345496339214</v>
      </c>
    </row>
    <row r="31" spans="2:15">
      <c r="B31" s="200" t="s">
        <v>166</v>
      </c>
      <c r="C31" s="198"/>
      <c r="D31" s="198" t="s">
        <v>40</v>
      </c>
      <c r="E31" s="198" t="s">
        <v>52</v>
      </c>
      <c r="F31" s="201">
        <v>-23244.440739999998</v>
      </c>
      <c r="G31" s="201">
        <v>-12018.10216</v>
      </c>
      <c r="H31" s="201">
        <v>-12467.697769999999</v>
      </c>
      <c r="I31" s="202">
        <v>-18</v>
      </c>
      <c r="J31" s="202">
        <v>0</v>
      </c>
      <c r="K31" s="202">
        <v>0</v>
      </c>
      <c r="L31" s="202">
        <v>0</v>
      </c>
      <c r="M31" s="202">
        <v>0</v>
      </c>
      <c r="N31" s="202">
        <v>0</v>
      </c>
      <c r="O31" s="203">
        <v>0</v>
      </c>
    </row>
    <row r="32" spans="2:15">
      <c r="B32" s="200" t="s">
        <v>168</v>
      </c>
      <c r="C32" s="198"/>
      <c r="D32" s="198" t="s">
        <v>40</v>
      </c>
      <c r="E32" s="198" t="s">
        <v>52</v>
      </c>
      <c r="F32" s="201">
        <v>-339.58678999999995</v>
      </c>
      <c r="G32" s="201">
        <v>-1043.8497600000001</v>
      </c>
      <c r="H32" s="201">
        <v>-109.49776</v>
      </c>
      <c r="I32" s="202">
        <v>-150</v>
      </c>
      <c r="J32" s="202">
        <v>-155.37368811393685</v>
      </c>
      <c r="K32" s="202">
        <v>-156.06000000000003</v>
      </c>
      <c r="L32" s="202">
        <v>-159.18120000000002</v>
      </c>
      <c r="M32" s="202">
        <v>-162.36482400000003</v>
      </c>
      <c r="N32" s="202">
        <v>-165.61212048000004</v>
      </c>
      <c r="O32" s="203">
        <v>-168.92436288960005</v>
      </c>
    </row>
    <row r="33" spans="2:15">
      <c r="B33" s="200" t="s">
        <v>177</v>
      </c>
      <c r="C33" s="198"/>
      <c r="D33" s="198" t="s">
        <v>40</v>
      </c>
      <c r="E33" s="198" t="s">
        <v>52</v>
      </c>
      <c r="F33" s="201">
        <v>0</v>
      </c>
      <c r="G33" s="201">
        <v>-2296.40859</v>
      </c>
      <c r="H33" s="201">
        <v>-5766.5837000000001</v>
      </c>
      <c r="I33" s="202">
        <v>-5250</v>
      </c>
      <c r="J33" s="202">
        <v>-5512.6584542824794</v>
      </c>
      <c r="K33" s="202">
        <v>-5537.0088000000014</v>
      </c>
      <c r="L33" s="202">
        <v>-5647.7489760000008</v>
      </c>
      <c r="M33" s="202">
        <v>-5760.7039555200008</v>
      </c>
      <c r="N33" s="202">
        <v>-5875.9180346304011</v>
      </c>
      <c r="O33" s="203">
        <v>-5993.4363953230095</v>
      </c>
    </row>
    <row r="34" spans="2:15">
      <c r="B34" s="204" t="s">
        <v>178</v>
      </c>
      <c r="C34" s="198"/>
      <c r="D34" s="198" t="s">
        <v>40</v>
      </c>
      <c r="E34" s="198" t="s">
        <v>52</v>
      </c>
      <c r="F34" s="201">
        <v>-1927.3554299999998</v>
      </c>
      <c r="G34" s="201">
        <v>-4434.54324</v>
      </c>
      <c r="H34" s="201">
        <v>-3011.96515</v>
      </c>
      <c r="I34" s="202">
        <v>416</v>
      </c>
      <c r="J34" s="202">
        <v>296.41754125737543</v>
      </c>
      <c r="K34" s="202">
        <v>295.95999999999998</v>
      </c>
      <c r="L34" s="202">
        <v>293.87919999999997</v>
      </c>
      <c r="M34" s="202">
        <v>291.75678399999998</v>
      </c>
      <c r="N34" s="202">
        <v>289.59191967999999</v>
      </c>
      <c r="O34" s="203">
        <v>287.38375807360001</v>
      </c>
    </row>
    <row r="35" spans="2:15">
      <c r="B35" s="204" t="s">
        <v>179</v>
      </c>
      <c r="C35" s="198"/>
      <c r="D35" s="198" t="s">
        <v>40</v>
      </c>
      <c r="E35" s="198" t="s">
        <v>52</v>
      </c>
      <c r="F35" s="201">
        <v>-472.69722999999999</v>
      </c>
      <c r="G35" s="201">
        <v>-427.54716999999999</v>
      </c>
      <c r="H35" s="201">
        <v>-738.52643999999998</v>
      </c>
      <c r="I35" s="202">
        <v>-124</v>
      </c>
      <c r="J35" s="202">
        <v>-400</v>
      </c>
      <c r="K35" s="202">
        <v>-400</v>
      </c>
      <c r="L35" s="202">
        <v>-400</v>
      </c>
      <c r="M35" s="202">
        <v>-400</v>
      </c>
      <c r="N35" s="202">
        <v>-400</v>
      </c>
      <c r="O35" s="203">
        <v>-400</v>
      </c>
    </row>
    <row r="36" spans="2:15">
      <c r="B36" s="200"/>
      <c r="C36" s="198"/>
      <c r="D36" s="198"/>
      <c r="E36" s="198"/>
      <c r="F36" s="205"/>
      <c r="G36" s="205"/>
      <c r="H36" s="205"/>
      <c r="I36" s="206"/>
      <c r="J36" s="206"/>
      <c r="K36" s="206"/>
      <c r="L36" s="206"/>
      <c r="M36" s="206"/>
      <c r="N36" s="206"/>
      <c r="O36" s="207"/>
    </row>
    <row r="37" spans="2:15">
      <c r="B37" s="197" t="s">
        <v>180</v>
      </c>
      <c r="C37" s="198"/>
      <c r="D37" s="198"/>
      <c r="E37" s="198"/>
      <c r="F37" s="208">
        <f t="shared" ref="F37:O37" si="1">SUM(F29:F36)</f>
        <v>-81436.09736</v>
      </c>
      <c r="G37" s="208">
        <f t="shared" si="1"/>
        <v>-76671.493000000002</v>
      </c>
      <c r="H37" s="208">
        <f t="shared" si="1"/>
        <v>-86614.768990000011</v>
      </c>
      <c r="I37" s="209">
        <f t="shared" si="1"/>
        <v>-93595.060858394427</v>
      </c>
      <c r="J37" s="209">
        <f t="shared" si="1"/>
        <v>-85804.818871791271</v>
      </c>
      <c r="K37" s="209">
        <f t="shared" si="1"/>
        <v>-87224.491199159995</v>
      </c>
      <c r="L37" s="209">
        <f t="shared" si="1"/>
        <v>-99853.769618258419</v>
      </c>
      <c r="M37" s="209">
        <f t="shared" si="1"/>
        <v>-103420.81026324164</v>
      </c>
      <c r="N37" s="209">
        <f t="shared" si="1"/>
        <v>-105865.33059139221</v>
      </c>
      <c r="O37" s="210">
        <f t="shared" si="1"/>
        <v>-108301.30257573862</v>
      </c>
    </row>
    <row r="38" spans="2:15">
      <c r="B38" s="200"/>
      <c r="C38" s="198"/>
      <c r="D38" s="198"/>
      <c r="E38" s="198"/>
      <c r="F38" s="205"/>
      <c r="G38" s="205"/>
      <c r="H38" s="205"/>
      <c r="I38" s="206"/>
      <c r="J38" s="206"/>
      <c r="K38" s="206"/>
      <c r="L38" s="206"/>
      <c r="M38" s="206"/>
      <c r="N38" s="206"/>
      <c r="O38" s="207"/>
    </row>
    <row r="39" spans="2:15">
      <c r="B39" s="197" t="s">
        <v>181</v>
      </c>
      <c r="C39" s="198"/>
      <c r="D39" s="198"/>
      <c r="E39" s="198"/>
      <c r="F39" s="208">
        <f>F26+F37</f>
        <v>13636.927320000003</v>
      </c>
      <c r="G39" s="208">
        <f t="shared" ref="G39:O39" si="2">G26+G37</f>
        <v>21553.723609999986</v>
      </c>
      <c r="H39" s="208">
        <f t="shared" si="2"/>
        <v>26687.952247857553</v>
      </c>
      <c r="I39" s="209">
        <f t="shared" si="2"/>
        <v>36838.435002317492</v>
      </c>
      <c r="J39" s="209">
        <f t="shared" si="2"/>
        <v>21998.680126238527</v>
      </c>
      <c r="K39" s="209">
        <f t="shared" si="2"/>
        <v>15001.41979859944</v>
      </c>
      <c r="L39" s="209">
        <f t="shared" si="2"/>
        <v>33559.590947500707</v>
      </c>
      <c r="M39" s="209">
        <f t="shared" si="2"/>
        <v>35343.283941927744</v>
      </c>
      <c r="N39" s="209">
        <f t="shared" si="2"/>
        <v>36805.825154330349</v>
      </c>
      <c r="O39" s="210">
        <f t="shared" si="2"/>
        <v>30853.164286699975</v>
      </c>
    </row>
    <row r="40" spans="2:15">
      <c r="B40" s="200"/>
      <c r="C40" s="198"/>
      <c r="D40" s="198"/>
      <c r="E40" s="198"/>
      <c r="F40" s="205"/>
      <c r="G40" s="205"/>
      <c r="H40" s="205"/>
      <c r="I40" s="206"/>
      <c r="J40" s="206"/>
      <c r="K40" s="206"/>
      <c r="L40" s="206"/>
      <c r="M40" s="206"/>
      <c r="N40" s="206"/>
      <c r="O40" s="207"/>
    </row>
    <row r="41" spans="2:15">
      <c r="B41" s="197" t="s">
        <v>182</v>
      </c>
      <c r="C41" s="198"/>
      <c r="D41" s="198"/>
      <c r="E41" s="198"/>
      <c r="F41" s="205"/>
      <c r="G41" s="205"/>
      <c r="H41" s="205"/>
      <c r="I41" s="206"/>
      <c r="J41" s="206"/>
      <c r="K41" s="206"/>
      <c r="L41" s="206"/>
      <c r="M41" s="206"/>
      <c r="N41" s="206"/>
      <c r="O41" s="207"/>
    </row>
    <row r="42" spans="2:15">
      <c r="B42" s="200" t="s">
        <v>183</v>
      </c>
      <c r="C42" s="198"/>
      <c r="D42" s="198" t="s">
        <v>40</v>
      </c>
      <c r="E42" s="198" t="s">
        <v>52</v>
      </c>
      <c r="F42" s="201">
        <v>-8051.584223043963</v>
      </c>
      <c r="G42" s="201">
        <v>-8343.5367939994594</v>
      </c>
      <c r="H42" s="201">
        <v>-8694.0716634034088</v>
      </c>
      <c r="I42" s="202">
        <v>-9013.3924413686382</v>
      </c>
      <c r="J42" s="202">
        <v>-8689.3743106294987</v>
      </c>
      <c r="K42" s="202">
        <v>-10928.666319354999</v>
      </c>
      <c r="L42" s="202">
        <v>-11130.922371337911</v>
      </c>
      <c r="M42" s="202">
        <v>-11412.438067354216</v>
      </c>
      <c r="N42" s="202">
        <v>-11529.069466379007</v>
      </c>
      <c r="O42" s="203">
        <v>-11767.191434109216</v>
      </c>
    </row>
    <row r="43" spans="2:15">
      <c r="B43" s="200" t="s">
        <v>184</v>
      </c>
      <c r="C43" s="198"/>
      <c r="D43" s="198" t="s">
        <v>40</v>
      </c>
      <c r="E43" s="198" t="s">
        <v>52</v>
      </c>
      <c r="F43" s="201">
        <v>-1920.2023399999996</v>
      </c>
      <c r="G43" s="201">
        <v>-2275.5032500000002</v>
      </c>
      <c r="H43" s="201">
        <v>-2303.1195599999996</v>
      </c>
      <c r="I43" s="202">
        <v>-2713.8687999999997</v>
      </c>
      <c r="J43" s="202">
        <v>-2979.6644327999998</v>
      </c>
      <c r="K43" s="202">
        <v>-3870.7255194120003</v>
      </c>
      <c r="L43" s="202">
        <v>-4325.2270285614477</v>
      </c>
      <c r="M43" s="202">
        <v>-4845.0120538579558</v>
      </c>
      <c r="N43" s="202">
        <v>-5306.5814553692471</v>
      </c>
      <c r="O43" s="203">
        <v>-5397.103565658721</v>
      </c>
    </row>
    <row r="44" spans="2:15">
      <c r="B44" s="200" t="s">
        <v>19</v>
      </c>
      <c r="C44" s="198"/>
      <c r="D44" s="198" t="s">
        <v>40</v>
      </c>
      <c r="E44" s="198" t="s">
        <v>52</v>
      </c>
      <c r="F44" s="201">
        <v>-1729.8302799999999</v>
      </c>
      <c r="G44" s="201">
        <v>-877.59519000000034</v>
      </c>
      <c r="H44" s="201">
        <v>-1025.9778499999998</v>
      </c>
      <c r="I44" s="202">
        <v>-766.25711480979544</v>
      </c>
      <c r="J44" s="202">
        <v>-771.4246331999999</v>
      </c>
      <c r="K44" s="202">
        <v>-622.83220354800005</v>
      </c>
      <c r="L44" s="202">
        <v>-585.40862269296019</v>
      </c>
      <c r="M44" s="202">
        <v>-577.73476488985932</v>
      </c>
      <c r="N44" s="202">
        <v>-1030.9217814676565</v>
      </c>
      <c r="O44" s="203">
        <v>-713.69149131780966</v>
      </c>
    </row>
    <row r="45" spans="2:15">
      <c r="B45" s="200" t="s">
        <v>185</v>
      </c>
      <c r="C45" s="198"/>
      <c r="D45" s="198" t="s">
        <v>40</v>
      </c>
      <c r="E45" s="198" t="s">
        <v>52</v>
      </c>
      <c r="F45" s="201">
        <v>-410.92299000000014</v>
      </c>
      <c r="G45" s="201">
        <v>-512.83535000000006</v>
      </c>
      <c r="H45" s="201">
        <v>-541.19416999999999</v>
      </c>
      <c r="I45" s="202">
        <v>-644.17241999999999</v>
      </c>
      <c r="J45" s="202">
        <v>-722.306719524409</v>
      </c>
      <c r="K45" s="202">
        <v>-1060.7998260103866</v>
      </c>
      <c r="L45" s="202">
        <v>-1119.1871698497014</v>
      </c>
      <c r="M45" s="202">
        <v>-1170.7297297362702</v>
      </c>
      <c r="N45" s="202">
        <v>-1237.1434810885021</v>
      </c>
      <c r="O45" s="203">
        <v>-1286.6316087646615</v>
      </c>
    </row>
    <row r="46" spans="2:15">
      <c r="B46" s="200" t="s">
        <v>24</v>
      </c>
      <c r="C46" s="198"/>
      <c r="D46" s="198" t="s">
        <v>40</v>
      </c>
      <c r="E46" s="198" t="s">
        <v>52</v>
      </c>
      <c r="F46" s="201">
        <v>898.58104000000014</v>
      </c>
      <c r="G46" s="201">
        <v>227.32916</v>
      </c>
      <c r="H46" s="201">
        <v>231.04359999999997</v>
      </c>
      <c r="I46" s="202">
        <v>191.88140070314014</v>
      </c>
      <c r="J46" s="202">
        <v>195.71902871720295</v>
      </c>
      <c r="K46" s="202">
        <v>199.63340929154705</v>
      </c>
      <c r="L46" s="202">
        <v>203.62607747737798</v>
      </c>
      <c r="M46" s="202">
        <v>207.69859902692554</v>
      </c>
      <c r="N46" s="202">
        <v>211.85257100746406</v>
      </c>
      <c r="O46" s="203">
        <v>216.08962242761336</v>
      </c>
    </row>
    <row r="47" spans="2:15">
      <c r="B47" s="200" t="s">
        <v>25</v>
      </c>
      <c r="C47" s="198"/>
      <c r="D47" s="198" t="s">
        <v>40</v>
      </c>
      <c r="E47" s="198" t="s">
        <v>52</v>
      </c>
      <c r="F47" s="201">
        <v>-1159.113339</v>
      </c>
      <c r="G47" s="201">
        <v>-434.20782500000001</v>
      </c>
      <c r="H47" s="201">
        <v>-272.34709399999997</v>
      </c>
      <c r="I47" s="202">
        <v>-267.2952627286603</v>
      </c>
      <c r="J47" s="202">
        <v>-272.64116798323352</v>
      </c>
      <c r="K47" s="202">
        <v>-278.09399134289822</v>
      </c>
      <c r="L47" s="202">
        <v>-283.65587116975621</v>
      </c>
      <c r="M47" s="202">
        <v>-289.32898859315134</v>
      </c>
      <c r="N47" s="202">
        <v>-295.11556836501438</v>
      </c>
      <c r="O47" s="203">
        <v>-301.01787973231467</v>
      </c>
    </row>
    <row r="48" spans="2:15">
      <c r="B48" s="200" t="s">
        <v>186</v>
      </c>
      <c r="C48" s="198"/>
      <c r="D48" s="198" t="s">
        <v>40</v>
      </c>
      <c r="E48" s="198" t="s">
        <v>52</v>
      </c>
      <c r="F48" s="201"/>
      <c r="G48" s="201"/>
      <c r="H48" s="201"/>
      <c r="I48" s="202"/>
      <c r="J48" s="202"/>
      <c r="K48" s="202"/>
      <c r="L48" s="202"/>
      <c r="M48" s="202"/>
      <c r="N48" s="202"/>
      <c r="O48" s="203"/>
    </row>
    <row r="49" spans="2:18">
      <c r="B49" s="200" t="s">
        <v>187</v>
      </c>
      <c r="C49" s="198"/>
      <c r="D49" s="198" t="s">
        <v>40</v>
      </c>
      <c r="E49" s="198" t="s">
        <v>52</v>
      </c>
      <c r="F49" s="201">
        <v>-317.07953999999995</v>
      </c>
      <c r="G49" s="201">
        <v>-894.31104000000005</v>
      </c>
      <c r="H49" s="201">
        <v>-388.13506000000007</v>
      </c>
      <c r="I49" s="202">
        <v>-120.70231333333342</v>
      </c>
      <c r="J49" s="202">
        <v>-307.18666976800006</v>
      </c>
      <c r="K49" s="202">
        <v>-1103.7024410041347</v>
      </c>
      <c r="L49" s="202">
        <v>-1141.4853887081172</v>
      </c>
      <c r="M49" s="202">
        <v>-1002.2911954455204</v>
      </c>
      <c r="N49" s="202">
        <v>-912.29059011383697</v>
      </c>
      <c r="O49" s="203">
        <v>-818.30379945474772</v>
      </c>
    </row>
    <row r="50" spans="2:18">
      <c r="B50" s="200" t="s">
        <v>17</v>
      </c>
      <c r="C50" s="198"/>
      <c r="D50" s="198" t="s">
        <v>40</v>
      </c>
      <c r="E50" s="198" t="s">
        <v>52</v>
      </c>
      <c r="F50" s="201">
        <v>-268</v>
      </c>
      <c r="G50" s="201">
        <v>-75</v>
      </c>
      <c r="H50" s="201">
        <v>-75</v>
      </c>
      <c r="I50" s="202">
        <v>-75</v>
      </c>
      <c r="J50" s="202">
        <v>-76.5</v>
      </c>
      <c r="K50" s="202">
        <v>-973.81440000000021</v>
      </c>
      <c r="L50" s="202">
        <v>-993.29068800000016</v>
      </c>
      <c r="M50" s="202">
        <v>-1013.1565017600002</v>
      </c>
      <c r="N50" s="202">
        <v>-1033.4196317952003</v>
      </c>
      <c r="O50" s="203">
        <v>-1054.0880244311043</v>
      </c>
    </row>
    <row r="51" spans="2:18">
      <c r="B51" s="200" t="s">
        <v>188</v>
      </c>
      <c r="C51" s="198"/>
      <c r="D51" s="198" t="s">
        <v>40</v>
      </c>
      <c r="E51" s="198" t="s">
        <v>52</v>
      </c>
      <c r="F51" s="201">
        <v>-2027.8785699999999</v>
      </c>
      <c r="G51" s="201">
        <v>-2080.43687</v>
      </c>
      <c r="H51" s="201">
        <v>-1236.34437</v>
      </c>
      <c r="I51" s="202">
        <v>-5392.898110599599</v>
      </c>
      <c r="J51" s="202">
        <v>-5534.9951227429183</v>
      </c>
      <c r="K51" s="202">
        <v>-5881.3580896485528</v>
      </c>
      <c r="L51" s="202">
        <v>-7415.3495073180839</v>
      </c>
      <c r="M51" s="202">
        <v>-8913.3793657623955</v>
      </c>
      <c r="N51" s="202">
        <v>-4913.2797893184788</v>
      </c>
      <c r="O51" s="203">
        <v>-5441.7844292897807</v>
      </c>
    </row>
    <row r="52" spans="2:18">
      <c r="B52" s="204" t="s">
        <v>189</v>
      </c>
      <c r="C52" s="198"/>
      <c r="D52" s="198" t="s">
        <v>40</v>
      </c>
      <c r="E52" s="198" t="s">
        <v>52</v>
      </c>
      <c r="F52" s="201">
        <v>-160.48913999999999</v>
      </c>
      <c r="G52" s="201">
        <v>-280.57574</v>
      </c>
      <c r="H52" s="201">
        <v>-287.89359999999999</v>
      </c>
      <c r="I52" s="202">
        <v>-325.25968435003045</v>
      </c>
      <c r="J52" s="202">
        <v>-336.91197834826119</v>
      </c>
      <c r="K52" s="202">
        <v>-338.40017559777175</v>
      </c>
      <c r="L52" s="202">
        <v>-345.16817910972719</v>
      </c>
      <c r="M52" s="202">
        <v>-352.07154269192171</v>
      </c>
      <c r="N52" s="202">
        <v>-359.11297354576016</v>
      </c>
      <c r="O52" s="203">
        <v>-366.29523301667541</v>
      </c>
    </row>
    <row r="53" spans="2:18">
      <c r="B53" s="204" t="s">
        <v>190</v>
      </c>
      <c r="C53" s="198"/>
      <c r="D53" s="198" t="s">
        <v>40</v>
      </c>
      <c r="E53" s="198" t="s">
        <v>52</v>
      </c>
      <c r="F53" s="201">
        <v>-412.73894999999999</v>
      </c>
      <c r="G53" s="201">
        <v>-2137.97417</v>
      </c>
      <c r="H53" s="201">
        <v>-75.616799999999998</v>
      </c>
      <c r="I53" s="202">
        <v>0</v>
      </c>
      <c r="J53" s="202">
        <v>0</v>
      </c>
      <c r="K53" s="202">
        <v>0</v>
      </c>
      <c r="L53" s="202">
        <v>0</v>
      </c>
      <c r="M53" s="202">
        <v>0</v>
      </c>
      <c r="N53" s="202">
        <v>0</v>
      </c>
      <c r="O53" s="203">
        <v>0</v>
      </c>
    </row>
    <row r="54" spans="2:18">
      <c r="B54" s="204" t="s">
        <v>191</v>
      </c>
      <c r="C54" s="198"/>
      <c r="D54" s="198" t="s">
        <v>40</v>
      </c>
      <c r="E54" s="198" t="s">
        <v>52</v>
      </c>
      <c r="F54" s="201">
        <v>-43</v>
      </c>
      <c r="G54" s="201">
        <v>-50.187829999999998</v>
      </c>
      <c r="H54" s="201">
        <v>-72.651420000000002</v>
      </c>
      <c r="I54" s="202">
        <v>-75</v>
      </c>
      <c r="J54" s="202">
        <v>-77.686844056968425</v>
      </c>
      <c r="K54" s="202">
        <v>-78.030000000000015</v>
      </c>
      <c r="L54" s="202">
        <v>-79.590600000000009</v>
      </c>
      <c r="M54" s="202">
        <v>-81.182412000000014</v>
      </c>
      <c r="N54" s="202">
        <v>-82.806060240000022</v>
      </c>
      <c r="O54" s="203">
        <v>-84.462181444800024</v>
      </c>
    </row>
    <row r="55" spans="2:18">
      <c r="B55" s="204" t="s">
        <v>192</v>
      </c>
      <c r="C55" s="198"/>
      <c r="D55" s="198" t="s">
        <v>40</v>
      </c>
      <c r="E55" s="198" t="s">
        <v>52</v>
      </c>
      <c r="F55" s="201">
        <v>0</v>
      </c>
      <c r="G55" s="201">
        <v>0</v>
      </c>
      <c r="H55" s="201">
        <v>-80.864829999999998</v>
      </c>
      <c r="I55" s="202">
        <v>-135</v>
      </c>
      <c r="J55" s="202">
        <v>-139.83631930254316</v>
      </c>
      <c r="K55" s="202">
        <v>-140.45400000000004</v>
      </c>
      <c r="L55" s="202">
        <v>-143.26308000000003</v>
      </c>
      <c r="M55" s="202">
        <v>-146.12834160000003</v>
      </c>
      <c r="N55" s="202">
        <v>-149.05090843200003</v>
      </c>
      <c r="O55" s="203">
        <v>-152.03192660064005</v>
      </c>
    </row>
    <row r="56" spans="2:18">
      <c r="B56" s="204" t="s">
        <v>193</v>
      </c>
      <c r="C56" s="198"/>
      <c r="D56" s="198" t="s">
        <v>40</v>
      </c>
      <c r="E56" s="198" t="s">
        <v>52</v>
      </c>
      <c r="F56" s="201">
        <v>-1.6452400000000003</v>
      </c>
      <c r="G56" s="201">
        <v>-1.68529</v>
      </c>
      <c r="H56" s="201">
        <v>-1.716</v>
      </c>
      <c r="I56" s="202">
        <v>-1452.2439999999999</v>
      </c>
      <c r="J56" s="202">
        <v>-1.8763371969657774</v>
      </c>
      <c r="K56" s="202">
        <v>-1.8846252960395133</v>
      </c>
      <c r="L56" s="202">
        <v>-1.9223178019603036</v>
      </c>
      <c r="M56" s="202">
        <v>-1.9607641579995096</v>
      </c>
      <c r="N56" s="202">
        <v>-1.9999794411595</v>
      </c>
      <c r="O56" s="203">
        <v>-2.0399790299826899</v>
      </c>
    </row>
    <row r="57" spans="2:18">
      <c r="B57" s="204" t="s">
        <v>194</v>
      </c>
      <c r="C57" s="198"/>
      <c r="D57" s="198" t="s">
        <v>40</v>
      </c>
      <c r="E57" s="198" t="s">
        <v>52</v>
      </c>
      <c r="F57" s="201">
        <v>0</v>
      </c>
      <c r="G57" s="201">
        <v>0</v>
      </c>
      <c r="H57" s="201">
        <v>0</v>
      </c>
      <c r="I57" s="202">
        <v>-113.789</v>
      </c>
      <c r="J57" s="202">
        <v>-156.02203247673853</v>
      </c>
      <c r="K57" s="202">
        <v>0</v>
      </c>
      <c r="L57" s="202">
        <v>0</v>
      </c>
      <c r="M57" s="202">
        <v>0</v>
      </c>
      <c r="N57" s="202">
        <v>0</v>
      </c>
      <c r="O57" s="203">
        <v>0</v>
      </c>
    </row>
    <row r="58" spans="2:18">
      <c r="B58" s="204" t="s">
        <v>195</v>
      </c>
      <c r="C58" s="198"/>
      <c r="D58" s="198" t="s">
        <v>40</v>
      </c>
      <c r="E58" s="198" t="s">
        <v>52</v>
      </c>
      <c r="F58" s="201">
        <v>0</v>
      </c>
      <c r="G58" s="201">
        <v>0</v>
      </c>
      <c r="H58" s="201">
        <v>0</v>
      </c>
      <c r="I58" s="202">
        <v>0</v>
      </c>
      <c r="J58" s="202">
        <v>-188.80686228949853</v>
      </c>
      <c r="K58" s="202">
        <v>0</v>
      </c>
      <c r="L58" s="202">
        <v>0</v>
      </c>
      <c r="M58" s="202">
        <v>0</v>
      </c>
      <c r="N58" s="202">
        <v>0</v>
      </c>
      <c r="O58" s="203">
        <v>0</v>
      </c>
    </row>
    <row r="59" spans="2:18">
      <c r="B59" s="204" t="s">
        <v>196</v>
      </c>
      <c r="C59" s="198"/>
      <c r="D59" s="198" t="s">
        <v>40</v>
      </c>
      <c r="E59" s="198" t="s">
        <v>52</v>
      </c>
      <c r="F59" s="201">
        <v>0</v>
      </c>
      <c r="G59" s="201">
        <v>0</v>
      </c>
      <c r="H59" s="201">
        <v>0</v>
      </c>
      <c r="I59" s="202">
        <v>-33.133690000000001</v>
      </c>
      <c r="J59" s="202">
        <v>-300.04237014757416</v>
      </c>
      <c r="K59" s="202">
        <v>0</v>
      </c>
      <c r="L59" s="202">
        <v>0</v>
      </c>
      <c r="M59" s="202">
        <v>0</v>
      </c>
      <c r="N59" s="202">
        <v>0</v>
      </c>
      <c r="O59" s="203">
        <v>0</v>
      </c>
    </row>
    <row r="60" spans="2:18">
      <c r="B60" s="204" t="s">
        <v>197</v>
      </c>
      <c r="C60" s="198"/>
      <c r="D60" s="198" t="s">
        <v>40</v>
      </c>
      <c r="E60" s="198" t="s">
        <v>52</v>
      </c>
      <c r="F60" s="201">
        <v>0</v>
      </c>
      <c r="G60" s="201">
        <v>0</v>
      </c>
      <c r="H60" s="201">
        <v>0</v>
      </c>
      <c r="I60" s="202">
        <v>-1100</v>
      </c>
      <c r="J60" s="202">
        <v>-1304.0033433730466</v>
      </c>
      <c r="K60" s="202">
        <v>0</v>
      </c>
      <c r="L60" s="202">
        <v>0</v>
      </c>
      <c r="M60" s="202">
        <v>0</v>
      </c>
      <c r="N60" s="202">
        <v>0</v>
      </c>
      <c r="O60" s="203">
        <v>0</v>
      </c>
    </row>
    <row r="61" spans="2:18">
      <c r="B61" s="204" t="s">
        <v>198</v>
      </c>
      <c r="C61" s="198"/>
      <c r="D61" s="198" t="s">
        <v>40</v>
      </c>
      <c r="E61" s="198" t="s">
        <v>52</v>
      </c>
      <c r="F61" s="201">
        <v>-169</v>
      </c>
      <c r="G61" s="201">
        <v>-173</v>
      </c>
      <c r="H61" s="201">
        <v>-179</v>
      </c>
      <c r="I61" s="202">
        <v>-134</v>
      </c>
      <c r="J61" s="202">
        <v>-148.12291600195314</v>
      </c>
      <c r="K61" s="202">
        <v>-148.77720000000002</v>
      </c>
      <c r="L61" s="202">
        <v>-151.75274400000004</v>
      </c>
      <c r="M61" s="202">
        <v>-154.78779888000003</v>
      </c>
      <c r="N61" s="202">
        <v>-157.88355485760005</v>
      </c>
      <c r="O61" s="203">
        <v>0</v>
      </c>
    </row>
    <row r="62" spans="2:18">
      <c r="B62" s="200"/>
      <c r="C62" s="198"/>
      <c r="D62" s="198"/>
      <c r="E62" s="198"/>
      <c r="F62" s="205"/>
      <c r="G62" s="205"/>
      <c r="H62" s="205"/>
      <c r="I62" s="206"/>
      <c r="J62" s="206"/>
      <c r="K62" s="206"/>
      <c r="L62" s="206"/>
      <c r="M62" s="206"/>
      <c r="N62" s="206"/>
      <c r="O62" s="207"/>
    </row>
    <row r="63" spans="2:18">
      <c r="B63" s="197" t="s">
        <v>199</v>
      </c>
      <c r="C63" s="198"/>
      <c r="D63" s="198" t="s">
        <v>40</v>
      </c>
      <c r="E63" s="198" t="s">
        <v>52</v>
      </c>
      <c r="F63" s="208">
        <f t="shared" ref="F63:J63" si="3">SUM(F42:F61)</f>
        <v>-15772.903572043962</v>
      </c>
      <c r="G63" s="208">
        <f t="shared" si="3"/>
        <v>-17909.520188999461</v>
      </c>
      <c r="H63" s="208">
        <f t="shared" si="3"/>
        <v>-15002.888817403409</v>
      </c>
      <c r="I63" s="209">
        <f t="shared" si="3"/>
        <v>-22170.131436486914</v>
      </c>
      <c r="J63" s="209">
        <f t="shared" si="3"/>
        <v>-21811.683031124401</v>
      </c>
      <c r="K63" s="209">
        <f>SUM(K42:K61)</f>
        <v>-25227.905381923232</v>
      </c>
      <c r="L63" s="209">
        <f t="shared" ref="L63:O63" si="4">SUM(L42:L61)</f>
        <v>-27512.597491072291</v>
      </c>
      <c r="M63" s="209">
        <f t="shared" si="4"/>
        <v>-29752.502927702368</v>
      </c>
      <c r="N63" s="209">
        <f t="shared" si="4"/>
        <v>-26796.822669405996</v>
      </c>
      <c r="O63" s="210">
        <f t="shared" si="4"/>
        <v>-27168.551930422836</v>
      </c>
      <c r="R63" s="211"/>
    </row>
    <row r="64" spans="2:18">
      <c r="B64" s="200"/>
      <c r="C64" s="198"/>
      <c r="D64" s="198"/>
      <c r="E64" s="198"/>
      <c r="F64" s="205"/>
      <c r="G64" s="205"/>
      <c r="H64" s="205"/>
      <c r="I64" s="206"/>
      <c r="J64" s="206"/>
      <c r="K64" s="206"/>
      <c r="L64" s="206"/>
      <c r="M64" s="206"/>
      <c r="N64" s="206"/>
      <c r="O64" s="207"/>
    </row>
    <row r="65" spans="2:18">
      <c r="B65" s="197" t="s">
        <v>200</v>
      </c>
      <c r="C65" s="198"/>
      <c r="D65" s="198" t="s">
        <v>40</v>
      </c>
      <c r="E65" s="198" t="s">
        <v>52</v>
      </c>
      <c r="F65" s="208">
        <f t="shared" ref="F65:O65" si="5">F39+F63</f>
        <v>-2135.9762520439599</v>
      </c>
      <c r="G65" s="208">
        <f t="shared" si="5"/>
        <v>3644.2034210005259</v>
      </c>
      <c r="H65" s="208">
        <f t="shared" si="5"/>
        <v>11685.063430454144</v>
      </c>
      <c r="I65" s="209">
        <f t="shared" si="5"/>
        <v>14668.303565830578</v>
      </c>
      <c r="J65" s="209">
        <f t="shared" si="5"/>
        <v>186.99709511412584</v>
      </c>
      <c r="K65" s="209">
        <f t="shared" si="5"/>
        <v>-10226.485583323793</v>
      </c>
      <c r="L65" s="209">
        <f t="shared" si="5"/>
        <v>6046.9934564284158</v>
      </c>
      <c r="M65" s="209">
        <f t="shared" si="5"/>
        <v>5590.7810142253766</v>
      </c>
      <c r="N65" s="209">
        <f t="shared" si="5"/>
        <v>10009.002484924353</v>
      </c>
      <c r="O65" s="210">
        <f t="shared" si="5"/>
        <v>3684.612356277139</v>
      </c>
    </row>
    <row r="66" spans="2:18">
      <c r="B66" s="200"/>
      <c r="C66" s="198"/>
      <c r="D66" s="198"/>
      <c r="E66" s="198"/>
      <c r="F66" s="205"/>
      <c r="G66" s="205"/>
      <c r="H66" s="205"/>
      <c r="I66" s="206"/>
      <c r="J66" s="206"/>
      <c r="K66" s="206"/>
      <c r="L66" s="206"/>
      <c r="M66" s="206"/>
      <c r="N66" s="206"/>
      <c r="O66" s="207"/>
      <c r="R66" s="211"/>
    </row>
    <row r="67" spans="2:18">
      <c r="B67" s="200" t="s">
        <v>201</v>
      </c>
      <c r="C67" s="198"/>
      <c r="D67" s="198" t="s">
        <v>40</v>
      </c>
      <c r="E67" s="198" t="s">
        <v>52</v>
      </c>
      <c r="F67" s="201">
        <v>329.08461999999997</v>
      </c>
      <c r="G67" s="201">
        <v>9.0581800000000001</v>
      </c>
      <c r="H67" s="201">
        <v>20.000299999999999</v>
      </c>
      <c r="I67" s="202">
        <v>31.628848193324256</v>
      </c>
      <c r="J67" s="202">
        <v>61.150433121146072</v>
      </c>
      <c r="K67" s="202">
        <v>2.5577195788291669E-2</v>
      </c>
      <c r="L67" s="202">
        <v>2.12244783624E-23</v>
      </c>
      <c r="M67" s="202">
        <v>11.951938637327382</v>
      </c>
      <c r="N67" s="202">
        <v>36.773962775031805</v>
      </c>
      <c r="O67" s="203">
        <v>46.576664681143768</v>
      </c>
    </row>
    <row r="68" spans="2:18">
      <c r="B68" s="200" t="s">
        <v>202</v>
      </c>
      <c r="C68" s="198"/>
      <c r="D68" s="198" t="s">
        <v>40</v>
      </c>
      <c r="E68" s="198" t="s">
        <v>52</v>
      </c>
      <c r="F68" s="201">
        <v>-388.32173</v>
      </c>
      <c r="G68" s="201">
        <v>-482.1388</v>
      </c>
      <c r="H68" s="201">
        <v>-647.52929999999992</v>
      </c>
      <c r="I68" s="202">
        <v>-693.49312499999996</v>
      </c>
      <c r="J68" s="202">
        <v>-583.0020750000001</v>
      </c>
      <c r="K68" s="202">
        <v>-563.98788552767292</v>
      </c>
      <c r="L68" s="202">
        <v>-698.88065878468853</v>
      </c>
      <c r="M68" s="202">
        <v>-883.23329142465627</v>
      </c>
      <c r="N68" s="202">
        <v>-730.62400736489531</v>
      </c>
      <c r="O68" s="203">
        <v>-614.34578245883381</v>
      </c>
    </row>
    <row r="69" spans="2:18">
      <c r="B69" s="200" t="s">
        <v>203</v>
      </c>
      <c r="C69" s="198"/>
      <c r="D69" s="198" t="s">
        <v>40</v>
      </c>
      <c r="E69" s="198" t="s">
        <v>52</v>
      </c>
      <c r="F69" s="201">
        <v>0</v>
      </c>
      <c r="G69" s="201">
        <v>0</v>
      </c>
      <c r="H69" s="201">
        <v>-93.007720000000006</v>
      </c>
      <c r="I69" s="202">
        <v>-150</v>
      </c>
      <c r="J69" s="202">
        <v>0</v>
      </c>
      <c r="K69" s="202">
        <v>0</v>
      </c>
      <c r="L69" s="202">
        <v>0</v>
      </c>
      <c r="M69" s="202">
        <v>0</v>
      </c>
      <c r="N69" s="202">
        <v>0</v>
      </c>
      <c r="O69" s="203">
        <v>0</v>
      </c>
    </row>
    <row r="70" spans="2:18">
      <c r="B70" s="200"/>
      <c r="C70" s="198"/>
      <c r="D70" s="198"/>
      <c r="E70" s="198"/>
      <c r="F70" s="205"/>
      <c r="G70" s="205"/>
      <c r="H70" s="205"/>
      <c r="I70" s="206"/>
      <c r="J70" s="206"/>
      <c r="K70" s="206"/>
      <c r="L70" s="206"/>
      <c r="M70" s="206"/>
      <c r="N70" s="206"/>
      <c r="O70" s="207"/>
    </row>
    <row r="71" spans="2:18">
      <c r="B71" s="200" t="s">
        <v>204</v>
      </c>
      <c r="C71" s="198"/>
      <c r="D71" s="198" t="s">
        <v>40</v>
      </c>
      <c r="E71" s="198" t="s">
        <v>52</v>
      </c>
      <c r="F71" s="208">
        <f t="shared" ref="F71:O71" si="6">SUM(F67:F69)</f>
        <v>-59.23711000000003</v>
      </c>
      <c r="G71" s="208">
        <f t="shared" si="6"/>
        <v>-473.08062000000001</v>
      </c>
      <c r="H71" s="208">
        <f t="shared" si="6"/>
        <v>-720.53671999999983</v>
      </c>
      <c r="I71" s="209">
        <f t="shared" si="6"/>
        <v>-811.86427680667566</v>
      </c>
      <c r="J71" s="209">
        <f t="shared" si="6"/>
        <v>-521.85164187885402</v>
      </c>
      <c r="K71" s="209">
        <f t="shared" si="6"/>
        <v>-563.96230833188463</v>
      </c>
      <c r="L71" s="209">
        <f t="shared" si="6"/>
        <v>-698.88065878468853</v>
      </c>
      <c r="M71" s="209">
        <f t="shared" si="6"/>
        <v>-871.28135278732884</v>
      </c>
      <c r="N71" s="209">
        <f t="shared" si="6"/>
        <v>-693.8500445898635</v>
      </c>
      <c r="O71" s="210">
        <f t="shared" si="6"/>
        <v>-567.7691177776901</v>
      </c>
    </row>
    <row r="72" spans="2:18">
      <c r="B72" s="200"/>
      <c r="C72" s="198"/>
      <c r="D72" s="198"/>
      <c r="E72" s="198"/>
      <c r="F72" s="205"/>
      <c r="G72" s="205"/>
      <c r="H72" s="205"/>
      <c r="I72" s="206"/>
      <c r="J72" s="206"/>
      <c r="K72" s="206"/>
      <c r="L72" s="206"/>
      <c r="M72" s="206"/>
      <c r="N72" s="206"/>
      <c r="O72" s="207"/>
    </row>
    <row r="73" spans="2:18">
      <c r="B73" s="197" t="s">
        <v>205</v>
      </c>
      <c r="C73" s="198"/>
      <c r="D73" s="198" t="s">
        <v>40</v>
      </c>
      <c r="E73" s="198" t="s">
        <v>52</v>
      </c>
      <c r="F73" s="208">
        <f t="shared" ref="F73:O73" si="7">F65+F71</f>
        <v>-2195.2133620439599</v>
      </c>
      <c r="G73" s="208">
        <f t="shared" si="7"/>
        <v>3171.1228010005257</v>
      </c>
      <c r="H73" s="208">
        <f t="shared" si="7"/>
        <v>10964.526710454144</v>
      </c>
      <c r="I73" s="209">
        <f t="shared" si="7"/>
        <v>13856.439289023903</v>
      </c>
      <c r="J73" s="209">
        <f t="shared" si="7"/>
        <v>-334.85454676472818</v>
      </c>
      <c r="K73" s="209">
        <f>K65+K71</f>
        <v>-10790.447891655676</v>
      </c>
      <c r="L73" s="209">
        <f t="shared" si="7"/>
        <v>5348.1127976437274</v>
      </c>
      <c r="M73" s="209">
        <f t="shared" si="7"/>
        <v>4719.499661438048</v>
      </c>
      <c r="N73" s="209">
        <f t="shared" si="7"/>
        <v>9315.1524403344883</v>
      </c>
      <c r="O73" s="210">
        <f t="shared" si="7"/>
        <v>3116.8432384994489</v>
      </c>
    </row>
    <row r="74" spans="2:18">
      <c r="B74" s="197"/>
      <c r="C74" s="198"/>
      <c r="D74" s="198"/>
      <c r="E74" s="198"/>
      <c r="F74" s="205"/>
      <c r="G74" s="205"/>
      <c r="H74" s="205"/>
      <c r="I74" s="206"/>
      <c r="J74" s="206"/>
      <c r="K74" s="206"/>
      <c r="L74" s="206"/>
      <c r="M74" s="206"/>
      <c r="N74" s="206"/>
      <c r="O74" s="207"/>
    </row>
    <row r="75" spans="2:18">
      <c r="B75" s="197" t="s">
        <v>206</v>
      </c>
      <c r="C75" s="198"/>
      <c r="D75" s="198" t="s">
        <v>40</v>
      </c>
      <c r="E75" s="198" t="s">
        <v>52</v>
      </c>
      <c r="F75" s="201">
        <v>146.86099999999999</v>
      </c>
      <c r="G75" s="201">
        <v>-947.16096000000005</v>
      </c>
      <c r="H75" s="201">
        <v>-1088.3150000000001</v>
      </c>
      <c r="I75" s="202">
        <v>-2742.370550599117</v>
      </c>
      <c r="J75" s="202">
        <v>310.42723829246273</v>
      </c>
      <c r="K75" s="202">
        <v>1962.5595117298526</v>
      </c>
      <c r="L75" s="202">
        <v>-778.43213804809432</v>
      </c>
      <c r="M75" s="202">
        <v>-668.95296414210168</v>
      </c>
      <c r="N75" s="202">
        <v>-1447.5466969884424</v>
      </c>
      <c r="O75" s="203">
        <v>-391.11354831910802</v>
      </c>
    </row>
    <row r="76" spans="2:18" ht="14.65" thickBot="1">
      <c r="B76" s="212"/>
      <c r="C76" s="213"/>
      <c r="D76" s="213"/>
      <c r="E76" s="213"/>
      <c r="F76" s="214"/>
      <c r="G76" s="214"/>
      <c r="H76" s="214"/>
      <c r="I76" s="215"/>
      <c r="J76" s="215"/>
      <c r="K76" s="215"/>
      <c r="L76" s="215"/>
      <c r="M76" s="215"/>
      <c r="N76" s="215"/>
      <c r="O76" s="216"/>
    </row>
    <row r="77" spans="2:18">
      <c r="F77" s="8"/>
      <c r="G77" s="8"/>
      <c r="H77" s="10"/>
    </row>
    <row r="78" spans="2:18">
      <c r="F78" s="217"/>
      <c r="G78" s="217"/>
      <c r="H78" s="217"/>
      <c r="I78" s="217"/>
      <c r="J78" s="217"/>
      <c r="K78" s="217"/>
      <c r="L78" s="217"/>
      <c r="M78" s="217"/>
      <c r="N78" s="217"/>
      <c r="O78" s="217"/>
    </row>
    <row r="79" spans="2:18">
      <c r="F79" s="8"/>
      <c r="G79" s="8"/>
      <c r="H79" s="10"/>
    </row>
    <row r="80" spans="2:18">
      <c r="F80" s="217"/>
      <c r="G80" s="217"/>
      <c r="H80" s="217"/>
      <c r="I80" s="218"/>
    </row>
    <row r="81" spans="6:9">
      <c r="F81" s="217"/>
      <c r="G81" s="217"/>
      <c r="H81" s="217"/>
      <c r="I81" s="218"/>
    </row>
    <row r="82" spans="6:9">
      <c r="F82" s="217"/>
      <c r="G82" s="217"/>
      <c r="H82" s="217"/>
      <c r="I82" s="218"/>
    </row>
    <row r="83" spans="6:9">
      <c r="F83" s="219"/>
      <c r="G83" s="219"/>
      <c r="H83" s="220"/>
      <c r="I83" s="218"/>
    </row>
    <row r="84" spans="6:9">
      <c r="F84" s="219"/>
      <c r="G84" s="8"/>
      <c r="H84" s="10"/>
    </row>
    <row r="85" spans="6:9">
      <c r="F85" s="219"/>
      <c r="G85" s="8"/>
      <c r="H85" s="10"/>
    </row>
    <row r="86" spans="6:9">
      <c r="F86" s="219"/>
      <c r="G86" s="8"/>
      <c r="H86" s="10"/>
    </row>
    <row r="87" spans="6:9">
      <c r="F87" s="219"/>
      <c r="G87" s="8"/>
      <c r="H87" s="10"/>
    </row>
    <row r="88" spans="6:9">
      <c r="F88" s="8"/>
      <c r="G88" s="8"/>
      <c r="H88" s="10"/>
    </row>
    <row r="89" spans="6:9">
      <c r="F89" s="8"/>
      <c r="G89" s="8"/>
      <c r="H89" s="10"/>
    </row>
    <row r="90" spans="6:9">
      <c r="F90" s="8"/>
      <c r="G90" s="8"/>
      <c r="H90" s="10"/>
    </row>
    <row r="91" spans="6:9">
      <c r="F91" s="8"/>
      <c r="G91" s="8"/>
      <c r="H91" s="10"/>
    </row>
    <row r="92" spans="6:9">
      <c r="F92" s="219"/>
      <c r="G92" s="219"/>
      <c r="H92" s="219"/>
    </row>
  </sheetData>
  <mergeCells count="6">
    <mergeCell ref="K11:O11"/>
    <mergeCell ref="C11:C12"/>
    <mergeCell ref="D11:D12"/>
    <mergeCell ref="E11:E12"/>
    <mergeCell ref="F11:H11"/>
    <mergeCell ref="I11:J11"/>
  </mergeCells>
  <pageMargins left="0.70866141732283472" right="0.70866141732283472" top="0.74803149606299213" bottom="0.74803149606299213" header="0.31496062992125984" footer="0.31496062992125984"/>
  <pageSetup paperSize="9" scale="73" fitToHeight="2" orientation="landscape" r:id="rId1"/>
  <rowBreaks count="1" manualBreakCount="1">
    <brk id="40"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BB34-B3F3-4C10-B272-68C897761AEA}">
  <sheetPr>
    <tabColor rgb="FFFF0000"/>
  </sheetPr>
  <dimension ref="A1:I55"/>
  <sheetViews>
    <sheetView showGridLines="0" zoomScale="80" zoomScaleNormal="80" workbookViewId="0"/>
  </sheetViews>
  <sheetFormatPr defaultColWidth="8.6640625" defaultRowHeight="14.25"/>
  <cols>
    <col min="1" max="1" width="12.6640625" style="285" customWidth="1"/>
    <col min="2" max="2" width="27" style="285" customWidth="1"/>
    <col min="3" max="3" width="154.33203125" style="285" customWidth="1"/>
    <col min="4" max="23" width="10.33203125" style="285" customWidth="1"/>
    <col min="24" max="16384" width="8.6640625" style="285"/>
  </cols>
  <sheetData>
    <row r="1" spans="1:9" ht="18">
      <c r="A1" s="256" t="s">
        <v>785</v>
      </c>
      <c r="B1" s="257"/>
      <c r="C1" s="257"/>
    </row>
    <row r="2" spans="1:9" ht="40.15" customHeight="1">
      <c r="A2" s="331" t="s">
        <v>596</v>
      </c>
      <c r="C2" s="230"/>
    </row>
    <row r="3" spans="1:9" ht="40.15" customHeight="1">
      <c r="A3" s="333" t="s">
        <v>600</v>
      </c>
      <c r="B3" s="333" t="s">
        <v>597</v>
      </c>
      <c r="C3" s="334" t="s">
        <v>598</v>
      </c>
      <c r="D3" s="245"/>
      <c r="E3" s="227"/>
      <c r="F3" s="227"/>
      <c r="G3" s="227"/>
      <c r="H3" s="227"/>
    </row>
    <row r="4" spans="1:9" ht="40.15" customHeight="1">
      <c r="A4" s="335" t="s">
        <v>599</v>
      </c>
      <c r="B4" s="336"/>
      <c r="C4" s="336"/>
      <c r="D4" s="252"/>
      <c r="E4" s="2"/>
      <c r="F4" s="2"/>
      <c r="G4" s="2"/>
      <c r="H4" s="4"/>
      <c r="I4" s="4"/>
    </row>
    <row r="5" spans="1:9" ht="40.15" customHeight="1">
      <c r="A5" s="337"/>
      <c r="B5" s="338" t="s">
        <v>601</v>
      </c>
      <c r="C5" s="337" t="s">
        <v>613</v>
      </c>
      <c r="D5" s="252"/>
      <c r="E5" s="2"/>
      <c r="F5" s="2"/>
      <c r="G5" s="2"/>
    </row>
    <row r="6" spans="1:9" ht="40.15" customHeight="1">
      <c r="A6" s="339"/>
      <c r="B6" s="338" t="s">
        <v>602</v>
      </c>
      <c r="C6" s="337" t="s">
        <v>612</v>
      </c>
      <c r="D6" s="252"/>
      <c r="E6" s="2"/>
      <c r="F6" s="2"/>
      <c r="G6" s="2"/>
    </row>
    <row r="7" spans="1:9" ht="40.15" customHeight="1">
      <c r="A7" s="337"/>
      <c r="B7" s="338" t="s">
        <v>241</v>
      </c>
      <c r="C7" s="337" t="s">
        <v>615</v>
      </c>
      <c r="D7" s="252"/>
      <c r="E7" s="2"/>
      <c r="F7" s="2"/>
      <c r="G7" s="2"/>
    </row>
    <row r="8" spans="1:9" ht="40.15" customHeight="1">
      <c r="A8" s="337"/>
      <c r="B8" s="338" t="s">
        <v>786</v>
      </c>
      <c r="C8" s="337" t="s">
        <v>616</v>
      </c>
      <c r="D8" s="252"/>
      <c r="E8" s="2"/>
      <c r="F8" s="2"/>
      <c r="G8" s="2"/>
      <c r="H8" s="2"/>
    </row>
    <row r="9" spans="1:9" ht="40.15" customHeight="1">
      <c r="A9" s="337"/>
      <c r="B9" s="338" t="s">
        <v>787</v>
      </c>
      <c r="C9" s="337" t="s">
        <v>614</v>
      </c>
      <c r="D9" s="228"/>
    </row>
    <row r="10" spans="1:9" ht="40.15" customHeight="1">
      <c r="A10" s="337"/>
      <c r="B10" s="338" t="s">
        <v>603</v>
      </c>
      <c r="C10" s="337" t="s">
        <v>617</v>
      </c>
      <c r="D10" s="245"/>
      <c r="E10" s="227"/>
      <c r="F10" s="227"/>
      <c r="G10" s="227"/>
    </row>
    <row r="11" spans="1:9" ht="40.15" customHeight="1">
      <c r="A11" s="337"/>
      <c r="B11" s="338" t="s">
        <v>502</v>
      </c>
      <c r="C11" s="337" t="s">
        <v>854</v>
      </c>
      <c r="D11" s="252"/>
      <c r="E11" s="2"/>
      <c r="F11" s="2"/>
      <c r="G11" s="2"/>
      <c r="H11" s="269"/>
    </row>
    <row r="12" spans="1:9" ht="40.15" customHeight="1">
      <c r="A12" s="340" t="s">
        <v>604</v>
      </c>
      <c r="B12" s="341"/>
      <c r="C12" s="341"/>
      <c r="D12" s="252"/>
      <c r="E12" s="2"/>
      <c r="F12" s="2"/>
      <c r="G12" s="2"/>
      <c r="H12" s="269"/>
    </row>
    <row r="13" spans="1:9" ht="40.15" customHeight="1">
      <c r="A13" s="342"/>
      <c r="B13" s="343" t="s">
        <v>605</v>
      </c>
      <c r="C13" s="344" t="s">
        <v>788</v>
      </c>
      <c r="D13" s="252"/>
      <c r="E13" s="2"/>
      <c r="F13" s="2"/>
      <c r="G13" s="2"/>
      <c r="H13" s="2"/>
    </row>
    <row r="14" spans="1:9" ht="40.15" customHeight="1">
      <c r="A14" s="344"/>
      <c r="B14" s="343" t="s">
        <v>618</v>
      </c>
      <c r="C14" s="344" t="s">
        <v>619</v>
      </c>
      <c r="D14" s="228"/>
    </row>
    <row r="15" spans="1:9" ht="40.15" customHeight="1">
      <c r="A15" s="344"/>
      <c r="B15" s="343" t="s">
        <v>606</v>
      </c>
      <c r="C15" s="344" t="s">
        <v>620</v>
      </c>
      <c r="D15" s="228"/>
    </row>
    <row r="16" spans="1:9" ht="40.15" customHeight="1">
      <c r="A16" s="344"/>
      <c r="B16" s="343" t="s">
        <v>71</v>
      </c>
      <c r="C16" s="344" t="s">
        <v>621</v>
      </c>
      <c r="D16" s="228"/>
    </row>
    <row r="17" spans="1:4" ht="40.15" customHeight="1">
      <c r="A17" s="345" t="s">
        <v>607</v>
      </c>
      <c r="B17" s="346"/>
      <c r="C17" s="346"/>
      <c r="D17" s="228"/>
    </row>
    <row r="18" spans="1:4" ht="40.15" customHeight="1">
      <c r="A18" s="347"/>
      <c r="B18" s="348" t="s">
        <v>608</v>
      </c>
      <c r="C18" s="347" t="s">
        <v>622</v>
      </c>
      <c r="D18" s="228"/>
    </row>
    <row r="19" spans="1:4" ht="40.15" customHeight="1">
      <c r="A19" s="347"/>
      <c r="B19" s="348" t="s">
        <v>609</v>
      </c>
      <c r="C19" s="347" t="s">
        <v>623</v>
      </c>
      <c r="D19" s="228"/>
    </row>
    <row r="20" spans="1:4" ht="40.15" customHeight="1">
      <c r="A20" s="347"/>
      <c r="B20" s="348" t="s">
        <v>610</v>
      </c>
      <c r="C20" s="347" t="s">
        <v>672</v>
      </c>
      <c r="D20" s="228"/>
    </row>
    <row r="21" spans="1:4" ht="40.15" customHeight="1">
      <c r="A21" s="347"/>
      <c r="B21" s="348" t="s">
        <v>593</v>
      </c>
      <c r="C21" s="347" t="s">
        <v>673</v>
      </c>
      <c r="D21" s="228"/>
    </row>
    <row r="22" spans="1:4" ht="40.15" customHeight="1">
      <c r="A22" s="349" t="s">
        <v>664</v>
      </c>
      <c r="B22" s="350"/>
      <c r="C22" s="351"/>
      <c r="D22" s="228"/>
    </row>
    <row r="23" spans="1:4" ht="40.15" customHeight="1">
      <c r="A23" s="352"/>
      <c r="B23" s="353" t="s">
        <v>665</v>
      </c>
      <c r="C23" s="352" t="s">
        <v>666</v>
      </c>
      <c r="D23" s="228"/>
    </row>
    <row r="24" spans="1:4" ht="40.15" customHeight="1">
      <c r="A24" s="352"/>
      <c r="B24" s="353" t="s">
        <v>400</v>
      </c>
      <c r="C24" s="352" t="s">
        <v>671</v>
      </c>
      <c r="D24" s="228"/>
    </row>
    <row r="25" spans="1:4" ht="40.15" customHeight="1">
      <c r="A25" s="354" t="s">
        <v>509</v>
      </c>
      <c r="B25" s="355"/>
      <c r="C25" s="355"/>
      <c r="D25" s="228"/>
    </row>
    <row r="26" spans="1:4" ht="40.15" customHeight="1">
      <c r="A26" s="356"/>
      <c r="B26" s="357" t="s">
        <v>611</v>
      </c>
      <c r="C26" s="356" t="s">
        <v>624</v>
      </c>
      <c r="D26" s="228"/>
    </row>
    <row r="27" spans="1:4" ht="40.15" customHeight="1">
      <c r="A27" s="358" t="s">
        <v>502</v>
      </c>
      <c r="B27" s="359"/>
      <c r="C27" s="359"/>
      <c r="D27" s="228"/>
    </row>
    <row r="28" spans="1:4" ht="40.15" customHeight="1">
      <c r="A28" s="360"/>
      <c r="B28" s="361" t="s">
        <v>625</v>
      </c>
      <c r="C28" s="360" t="s">
        <v>626</v>
      </c>
      <c r="D28" s="228"/>
    </row>
    <row r="29" spans="1:4" ht="40.15" customHeight="1">
      <c r="A29" s="360"/>
      <c r="B29" s="361" t="s">
        <v>627</v>
      </c>
      <c r="C29" s="360" t="s">
        <v>626</v>
      </c>
      <c r="D29" s="228"/>
    </row>
    <row r="30" spans="1:4" ht="40.15" customHeight="1">
      <c r="A30" s="360"/>
      <c r="B30" s="361" t="s">
        <v>628</v>
      </c>
      <c r="C30" s="360" t="s">
        <v>629</v>
      </c>
      <c r="D30" s="228"/>
    </row>
    <row r="31" spans="1:4" ht="40.15" customHeight="1">
      <c r="A31" s="360"/>
      <c r="B31" s="361" t="s">
        <v>630</v>
      </c>
      <c r="C31" s="360" t="s">
        <v>626</v>
      </c>
      <c r="D31" s="228"/>
    </row>
    <row r="32" spans="1:4" ht="40.15" customHeight="1">
      <c r="A32" s="360"/>
      <c r="B32" s="361" t="s">
        <v>631</v>
      </c>
      <c r="C32" s="360" t="s">
        <v>626</v>
      </c>
      <c r="D32" s="228"/>
    </row>
    <row r="33" spans="1:4" ht="40.15" customHeight="1">
      <c r="A33" s="360"/>
      <c r="B33" s="361" t="s">
        <v>632</v>
      </c>
      <c r="C33" s="360" t="s">
        <v>626</v>
      </c>
      <c r="D33" s="228"/>
    </row>
    <row r="34" spans="1:4" ht="40.15" customHeight="1">
      <c r="A34" s="228"/>
      <c r="B34" s="228"/>
      <c r="C34" s="228"/>
      <c r="D34" s="228"/>
    </row>
    <row r="35" spans="1:4" ht="40.15" customHeight="1">
      <c r="A35" s="228"/>
      <c r="B35" s="228"/>
      <c r="C35" s="228"/>
      <c r="D35" s="228"/>
    </row>
    <row r="36" spans="1:4" ht="40.15" customHeight="1">
      <c r="A36" s="228"/>
      <c r="B36" s="228"/>
      <c r="C36" s="228"/>
      <c r="D36" s="228"/>
    </row>
    <row r="37" spans="1:4" ht="40.15" customHeight="1">
      <c r="A37" s="228"/>
      <c r="B37" s="228"/>
      <c r="C37" s="228"/>
      <c r="D37" s="228"/>
    </row>
    <row r="38" spans="1:4" ht="40.15" customHeight="1">
      <c r="A38" s="228"/>
      <c r="B38" s="228"/>
      <c r="C38" s="228"/>
      <c r="D38" s="228"/>
    </row>
    <row r="39" spans="1:4" ht="40.15" customHeight="1">
      <c r="A39" s="228"/>
      <c r="B39" s="228"/>
      <c r="C39" s="228"/>
      <c r="D39" s="228"/>
    </row>
    <row r="40" spans="1:4" ht="40.15" customHeight="1">
      <c r="A40" s="228"/>
      <c r="B40" s="228"/>
      <c r="C40" s="228"/>
      <c r="D40" s="228"/>
    </row>
    <row r="41" spans="1:4" ht="40.15" customHeight="1">
      <c r="A41" s="228"/>
      <c r="B41" s="228"/>
      <c r="C41" s="228"/>
      <c r="D41" s="228"/>
    </row>
    <row r="42" spans="1:4" ht="40.15" customHeight="1">
      <c r="A42" s="228"/>
      <c r="B42" s="228"/>
      <c r="C42" s="228"/>
      <c r="D42" s="228"/>
    </row>
    <row r="43" spans="1:4" ht="40.15" customHeight="1">
      <c r="A43" s="228"/>
      <c r="B43" s="228"/>
      <c r="C43" s="228"/>
      <c r="D43" s="228"/>
    </row>
    <row r="44" spans="1:4" ht="40.15" customHeight="1">
      <c r="A44" s="228"/>
      <c r="B44" s="228"/>
      <c r="C44" s="228"/>
      <c r="D44" s="228"/>
    </row>
    <row r="45" spans="1:4" ht="40.15" customHeight="1">
      <c r="A45" s="228"/>
      <c r="B45" s="228"/>
      <c r="C45" s="228"/>
      <c r="D45" s="228"/>
    </row>
    <row r="46" spans="1:4" ht="40.15" customHeight="1">
      <c r="A46" s="228"/>
      <c r="B46" s="228"/>
      <c r="C46" s="228"/>
      <c r="D46" s="228"/>
    </row>
    <row r="47" spans="1:4" ht="40.15" customHeight="1">
      <c r="A47" s="228"/>
      <c r="B47" s="228"/>
      <c r="C47" s="228"/>
      <c r="D47" s="228"/>
    </row>
    <row r="48" spans="1:4" ht="40.15" customHeight="1">
      <c r="A48" s="228"/>
      <c r="B48" s="228"/>
      <c r="C48" s="228"/>
      <c r="D48" s="228"/>
    </row>
    <row r="49" ht="40.15" customHeight="1"/>
    <row r="50" ht="40.15" customHeight="1"/>
    <row r="51" ht="40.15" customHeight="1"/>
    <row r="52" ht="40.15" customHeight="1"/>
    <row r="53" ht="40.15" customHeight="1"/>
    <row r="54" ht="40.15" customHeight="1"/>
    <row r="55" ht="40.15" customHeight="1"/>
  </sheetData>
  <hyperlinks>
    <hyperlink ref="B5" location="Inflation!A1" display="Inflation" xr:uid="{1DF791DB-73BC-4840-A140-53C20A4C58D2}"/>
    <hyperlink ref="B6" location="'RAB inputs'!A1" display="RAB inputs" xr:uid="{B90825A2-B8B4-D24A-AEA2-B5B135C48037}"/>
    <hyperlink ref="B7" location="'WACC parameters'!A1" display="WACC parameters" xr:uid="{2BC1020A-683C-264B-9073-68FF56A89903}"/>
    <hyperlink ref="B8" location="'FD allowances'!A1" display="FD allowances" xr:uid="{2B939148-ED67-7C43-9712-5C7C85674AC5}"/>
    <hyperlink ref="B9" location="'FD forecasts'!A1" display="FD forecasts" xr:uid="{883C893D-9E4A-FB42-B86F-05EF48666559}"/>
    <hyperlink ref="B10" location="'RoRE inputs'!A1" display="RoRE inputs" xr:uid="{5796E12E-2C25-D849-8087-6E126D143429}"/>
    <hyperlink ref="B11" location="'Other inputs'!A1" display="Other inputs" xr:uid="{76422207-8BC0-6144-AF6F-5C726D589D48}"/>
    <hyperlink ref="B13" location="WACC!A1" display="WACC" xr:uid="{D6326A47-0671-D445-9BBD-E51D6323AF04}"/>
    <hyperlink ref="B14" location="RAB!A1" display="RAB" xr:uid="{14D5D73A-305B-2042-88B3-99D260E27434}"/>
    <hyperlink ref="B15" location="Return!A1" display="Return" xr:uid="{4212ED9F-9000-1F4F-ADE0-D3FCF0D25F48}"/>
    <hyperlink ref="B16" location="'Asset beta'!A1" display="Asset beta" xr:uid="{B0FB0AF5-78BB-6043-8578-9B804EC42FFD}"/>
    <hyperlink ref="B18" location="'Regulated revenue'!A1" display="Regulated revenue" xr:uid="{26DAEFA6-DB66-8B4E-AD0A-A59D5C96D4DF}"/>
    <hyperlink ref="B19" location="Earnings!A1" display="Earnings" xr:uid="{36DD32E7-E453-1C4D-9374-5E48E03E1209}"/>
    <hyperlink ref="B20" location="'RAB summary'!A1" display="RAB summary" xr:uid="{BB50AEE8-45C1-2442-9E9C-2D50EF3D916B}"/>
    <hyperlink ref="B21" location="RoRE!A1" display="RoRE" xr:uid="{B22CCE19-9072-D446-9865-80554F82AA9C}"/>
    <hyperlink ref="B26" location="Scenarios!A1" display="Scenarios" xr:uid="{2BEF9A34-AB94-D14F-995C-F02407328BF5}"/>
    <hyperlink ref="B28" location="'5B Revenues &amp; Costs (notional)'!A1" display="5B Revenues &amp; Costs (notional)" xr:uid="{3DE2B3BF-EBC1-6D4C-9601-A9EFBADB7CE8}"/>
    <hyperlink ref="B29" location="'5A Revenues &amp; Costs (actual)'!A1" display="5A Revenues &amp; Costs (Actual)" xr:uid="{D41103EC-14E5-7842-AE62-ADDE836AA562}"/>
    <hyperlink ref="B30" location="'SONI BPDT RAB'!A1" display="SONI BPDT RAB" xr:uid="{4B273EFB-AF68-944C-AC86-B8617EA867C4}"/>
    <hyperlink ref="B31" location="'1 Price control buildup'!A1" display="1 Price control buildup" xr:uid="{E337D874-5CC8-EB48-93E3-F52F9FD3881E}"/>
    <hyperlink ref="B32" location="'3 Finance'!A1" display="3 Finance" xr:uid="{2205DFDE-E7FD-9746-808F-AAEC54929ABB}"/>
    <hyperlink ref="B33" location="'4 RAB Overview'!A1" display="4 RAB Overview" xr:uid="{CDDDAC84-B675-E64C-9C47-95F19425EB71}"/>
    <hyperlink ref="B23" location="'RoRE charts'!A1" display="RoRE charts" xr:uid="{5EA1B37A-28FA-2646-B667-3653044B73B8}"/>
    <hyperlink ref="B24" location="'RAB charts'!A1" display="RAB charts" xr:uid="{2A053A50-AC91-9543-B4CF-AC4EAA70F6BA}"/>
  </hyperlinks>
  <pageMargins left="0.7" right="0.7" top="0.75" bottom="0.75" header="0.3" footer="0.3"/>
  <pageSetup paperSize="9" orientation="portrait" horizontalDpi="4294967293"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T95"/>
  <sheetViews>
    <sheetView showGridLines="0" topLeftCell="A31" zoomScale="90" zoomScaleNormal="90" workbookViewId="0">
      <selection activeCell="J9" sqref="J9"/>
    </sheetView>
  </sheetViews>
  <sheetFormatPr defaultColWidth="8.6640625" defaultRowHeight="14.25"/>
  <cols>
    <col min="1" max="1" width="37.33203125" customWidth="1"/>
    <col min="2" max="2" width="17.6640625" customWidth="1"/>
    <col min="3" max="3" width="13.1328125" customWidth="1"/>
  </cols>
  <sheetData>
    <row r="1" spans="1:46" ht="18">
      <c r="A1" s="256" t="s">
        <v>341</v>
      </c>
      <c r="B1" s="256"/>
      <c r="J1" s="260"/>
      <c r="K1" s="260">
        <v>1</v>
      </c>
      <c r="L1" s="260">
        <v>2</v>
      </c>
      <c r="M1" s="260">
        <v>3</v>
      </c>
      <c r="N1" s="260">
        <v>4</v>
      </c>
      <c r="O1" s="260">
        <v>5</v>
      </c>
    </row>
    <row r="2" spans="1:46">
      <c r="D2" s="227" t="s">
        <v>15</v>
      </c>
      <c r="E2" s="227" t="s">
        <v>16</v>
      </c>
      <c r="F2" s="227" t="s">
        <v>0</v>
      </c>
      <c r="G2" s="227" t="s">
        <v>1</v>
      </c>
      <c r="H2" s="227" t="s">
        <v>2</v>
      </c>
      <c r="I2" s="227" t="s">
        <v>3</v>
      </c>
      <c r="J2" s="227" t="s">
        <v>4</v>
      </c>
      <c r="K2" s="227" t="s">
        <v>5</v>
      </c>
      <c r="L2" s="227" t="s">
        <v>6</v>
      </c>
      <c r="M2" s="227" t="s">
        <v>7</v>
      </c>
      <c r="N2" s="227" t="s">
        <v>8</v>
      </c>
      <c r="O2" s="227" t="s">
        <v>9</v>
      </c>
    </row>
    <row r="3" spans="1:46">
      <c r="A3" t="s">
        <v>213</v>
      </c>
      <c r="C3" s="3"/>
      <c r="D3" s="4">
        <f>Inflation!$H3/Inflation!C3</f>
        <v>1.0803212851405624</v>
      </c>
      <c r="E3" s="4">
        <f>Inflation!$H3/Inflation!D3</f>
        <v>1.077077077077077</v>
      </c>
      <c r="F3" s="4">
        <f>Inflation!$H3/Inflation!E3</f>
        <v>1.069582504970179</v>
      </c>
      <c r="G3" s="4">
        <f>Inflation!$H3/Inflation!F3</f>
        <v>1.0426356589147285</v>
      </c>
      <c r="H3" s="4">
        <f>Inflation!$H3/Inflation!G3</f>
        <v>1.0199052132701421</v>
      </c>
      <c r="I3" s="4">
        <f>Inflation!$H3/Inflation!H3</f>
        <v>1</v>
      </c>
      <c r="J3" s="4">
        <f>Inflation!$H3/Inflation!I3</f>
        <v>0.99079189686924496</v>
      </c>
      <c r="K3" s="4"/>
      <c r="L3" s="4"/>
      <c r="M3" s="4"/>
      <c r="N3" s="4"/>
      <c r="O3" s="4"/>
    </row>
    <row r="4" spans="1:46">
      <c r="A4" t="s">
        <v>212</v>
      </c>
      <c r="C4" s="3"/>
      <c r="D4" s="4"/>
      <c r="E4" s="4"/>
      <c r="F4" s="4"/>
      <c r="G4" s="4"/>
      <c r="H4" s="4"/>
      <c r="I4" s="4"/>
      <c r="J4" s="4"/>
      <c r="K4" s="4">
        <f>Inflation!$H$3/(Inflation!$I$3*(1+Inflation!$C$14)^K1)</f>
        <v>0.97136460477376962</v>
      </c>
      <c r="L4" s="4">
        <f>Inflation!$H$3/(Inflation!$I$3*(1+Inflation!$C$14)^L1)</f>
        <v>0.95231823997428389</v>
      </c>
      <c r="M4" s="4">
        <f>Inflation!$H$3/(Inflation!$I$3*(1+Inflation!$C$14)^M1)</f>
        <v>0.93364533330812149</v>
      </c>
      <c r="N4" s="4">
        <f>Inflation!$H$3/(Inflation!$I$3*(1+Inflation!$C$14)^N1)</f>
        <v>0.91533856206678577</v>
      </c>
      <c r="O4" s="4">
        <f>Inflation!$H$3/(Inflation!$I$3*(1+Inflation!$C$14)^O1)</f>
        <v>0.89739074712429967</v>
      </c>
    </row>
    <row r="5" spans="1:46">
      <c r="A5" t="s">
        <v>54</v>
      </c>
      <c r="C5" s="3"/>
      <c r="D5" s="4">
        <f t="shared" ref="D5:O5" si="0">D3+D4</f>
        <v>1.0803212851405624</v>
      </c>
      <c r="E5" s="4">
        <f t="shared" si="0"/>
        <v>1.077077077077077</v>
      </c>
      <c r="F5" s="4">
        <f t="shared" si="0"/>
        <v>1.069582504970179</v>
      </c>
      <c r="G5" s="4">
        <f t="shared" si="0"/>
        <v>1.0426356589147285</v>
      </c>
      <c r="H5" s="4">
        <f t="shared" si="0"/>
        <v>1.0199052132701421</v>
      </c>
      <c r="I5" s="4">
        <f t="shared" si="0"/>
        <v>1</v>
      </c>
      <c r="J5" s="4">
        <f t="shared" si="0"/>
        <v>0.99079189686924496</v>
      </c>
      <c r="K5" s="4">
        <f t="shared" si="0"/>
        <v>0.97136460477376962</v>
      </c>
      <c r="L5" s="4">
        <f t="shared" si="0"/>
        <v>0.95231823997428389</v>
      </c>
      <c r="M5" s="4">
        <f t="shared" si="0"/>
        <v>0.93364533330812149</v>
      </c>
      <c r="N5" s="4">
        <f t="shared" si="0"/>
        <v>0.91533856206678577</v>
      </c>
      <c r="O5" s="4">
        <f t="shared" si="0"/>
        <v>0.89739074712429967</v>
      </c>
    </row>
    <row r="6" spans="1:46">
      <c r="A6" t="s">
        <v>207</v>
      </c>
      <c r="C6" s="3"/>
      <c r="D6" s="4">
        <f>Inflation!F6/Inflation!$F6</f>
        <v>1</v>
      </c>
      <c r="E6" s="4">
        <f>Inflation!G6/Inflation!$F6</f>
        <v>1.0089949159170903</v>
      </c>
      <c r="F6" s="4">
        <f>Inflation!H6/Inflation!$F6</f>
        <v>1.0222917481423544</v>
      </c>
      <c r="G6" s="4">
        <f>Inflation!I6/Inflation!$F6</f>
        <v>1.0582714118107157</v>
      </c>
      <c r="H6" s="4">
        <f>Inflation!J6/Inflation!$F6</f>
        <v>1.0938599921783341</v>
      </c>
      <c r="I6" s="4">
        <f>Inflation!K6/Inflation!$F6</f>
        <v>1.127102072741494</v>
      </c>
      <c r="J6" s="4">
        <f>Inflation!L6/Inflation!$F6</f>
        <v>1.1443097379741887</v>
      </c>
    </row>
    <row r="7" spans="1:46">
      <c r="A7" t="s">
        <v>208</v>
      </c>
      <c r="C7" s="3"/>
      <c r="J7" s="4"/>
      <c r="K7" s="4"/>
      <c r="L7" s="4"/>
      <c r="M7" s="4"/>
      <c r="N7" s="4"/>
      <c r="O7" s="4"/>
    </row>
    <row r="8" spans="1:46">
      <c r="A8" t="s">
        <v>209</v>
      </c>
      <c r="C8" s="3"/>
      <c r="D8" s="4">
        <f t="shared" ref="D8:J8" si="1">D6+D7</f>
        <v>1</v>
      </c>
      <c r="E8" s="4">
        <f t="shared" si="1"/>
        <v>1.0089949159170903</v>
      </c>
      <c r="F8" s="4">
        <f t="shared" si="1"/>
        <v>1.0222917481423544</v>
      </c>
      <c r="G8" s="4">
        <f t="shared" si="1"/>
        <v>1.0582714118107157</v>
      </c>
      <c r="H8" s="4">
        <f t="shared" si="1"/>
        <v>1.0938599921783341</v>
      </c>
      <c r="I8" s="4">
        <f t="shared" si="1"/>
        <v>1.127102072741494</v>
      </c>
      <c r="J8" s="4">
        <f t="shared" si="1"/>
        <v>1.1443097379741887</v>
      </c>
      <c r="K8" s="4"/>
      <c r="L8" s="4"/>
      <c r="M8" s="4"/>
      <c r="N8" s="4"/>
      <c r="O8" s="4"/>
    </row>
    <row r="9" spans="1:46">
      <c r="A9" t="s">
        <v>404</v>
      </c>
      <c r="C9" s="3"/>
      <c r="D9" s="4">
        <v>1</v>
      </c>
      <c r="E9" s="4">
        <v>1</v>
      </c>
      <c r="F9" s="4">
        <v>1</v>
      </c>
      <c r="G9" s="4">
        <v>1</v>
      </c>
      <c r="H9" s="4">
        <v>1</v>
      </c>
      <c r="I9" s="4">
        <v>1</v>
      </c>
      <c r="J9" s="4">
        <f>Inflation!L6/Inflation!K6</f>
        <v>1.0152671755725191</v>
      </c>
      <c r="K9" s="4">
        <f>1/K4</f>
        <v>1.0294795539033457</v>
      </c>
      <c r="L9" s="4">
        <f>1/L4</f>
        <v>1.0500691449814126</v>
      </c>
      <c r="M9" s="4">
        <f>1/M4</f>
        <v>1.0710705278810408</v>
      </c>
      <c r="N9" s="4">
        <f>1/N4</f>
        <v>1.0924919384386618</v>
      </c>
      <c r="O9" s="4">
        <f>1/O4</f>
        <v>1.1143417772074351</v>
      </c>
    </row>
    <row r="10" spans="1:46">
      <c r="P10" s="225"/>
      <c r="Q10" s="225"/>
      <c r="R10" s="225"/>
      <c r="S10" s="225"/>
    </row>
    <row r="13" spans="1:46" ht="18">
      <c r="A13" s="256" t="s">
        <v>342</v>
      </c>
      <c r="B13" s="256"/>
      <c r="Z13" s="256" t="s">
        <v>436</v>
      </c>
      <c r="AK13" s="256" t="s">
        <v>438</v>
      </c>
      <c r="AL13" s="285"/>
      <c r="AM13" s="285"/>
      <c r="AN13" s="285"/>
      <c r="AO13" s="285"/>
      <c r="AP13" s="285"/>
      <c r="AQ13" s="285"/>
      <c r="AR13" s="285"/>
      <c r="AS13" s="285"/>
      <c r="AT13" s="285"/>
    </row>
    <row r="14" spans="1:46">
      <c r="C14" s="258" t="s">
        <v>11</v>
      </c>
      <c r="D14" s="423" t="s">
        <v>56</v>
      </c>
      <c r="E14" s="423"/>
      <c r="F14" s="423"/>
      <c r="G14" s="425" t="s">
        <v>403</v>
      </c>
      <c r="H14" s="425"/>
      <c r="I14" s="424" t="s">
        <v>64</v>
      </c>
      <c r="J14" s="424"/>
      <c r="K14" s="424"/>
      <c r="L14" s="424"/>
      <c r="M14" s="424"/>
      <c r="O14" s="426" t="s">
        <v>217</v>
      </c>
      <c r="P14" s="426"/>
      <c r="Q14" s="426"/>
      <c r="R14" s="426"/>
      <c r="S14" s="426"/>
      <c r="T14" s="426" t="s">
        <v>64</v>
      </c>
      <c r="U14" s="426"/>
      <c r="V14" s="426"/>
      <c r="W14" s="426"/>
      <c r="X14" s="426"/>
      <c r="Z14" s="426" t="s">
        <v>217</v>
      </c>
      <c r="AA14" s="426"/>
      <c r="AB14" s="426"/>
      <c r="AC14" s="426"/>
      <c r="AD14" s="426"/>
      <c r="AE14" s="426" t="s">
        <v>64</v>
      </c>
      <c r="AF14" s="426"/>
      <c r="AG14" s="426"/>
      <c r="AH14" s="426"/>
      <c r="AI14" s="426"/>
      <c r="AK14" s="426" t="s">
        <v>217</v>
      </c>
      <c r="AL14" s="426"/>
      <c r="AM14" s="426"/>
      <c r="AN14" s="426"/>
      <c r="AO14" s="426"/>
      <c r="AP14" s="426" t="s">
        <v>64</v>
      </c>
      <c r="AQ14" s="426"/>
      <c r="AR14" s="426"/>
      <c r="AS14" s="426"/>
      <c r="AT14" s="426"/>
    </row>
    <row r="15" spans="1:46">
      <c r="A15" s="1" t="s">
        <v>61</v>
      </c>
      <c r="B15" s="1" t="s">
        <v>10</v>
      </c>
      <c r="C15" s="1"/>
      <c r="D15" s="264" t="s">
        <v>0</v>
      </c>
      <c r="E15" s="264" t="s">
        <v>1</v>
      </c>
      <c r="F15" s="264" t="s">
        <v>2</v>
      </c>
      <c r="G15" s="272" t="s">
        <v>3</v>
      </c>
      <c r="H15" s="272" t="s">
        <v>4</v>
      </c>
      <c r="I15" s="265" t="s">
        <v>5</v>
      </c>
      <c r="J15" s="265" t="s">
        <v>6</v>
      </c>
      <c r="K15" s="265" t="s">
        <v>7</v>
      </c>
      <c r="L15" s="265" t="s">
        <v>8</v>
      </c>
      <c r="M15" s="265" t="s">
        <v>9</v>
      </c>
      <c r="O15" s="289" t="s">
        <v>0</v>
      </c>
      <c r="P15" s="289" t="s">
        <v>1</v>
      </c>
      <c r="Q15" s="289" t="s">
        <v>2</v>
      </c>
      <c r="R15" s="289" t="s">
        <v>3</v>
      </c>
      <c r="S15" s="289" t="s">
        <v>4</v>
      </c>
      <c r="T15" s="289" t="s">
        <v>5</v>
      </c>
      <c r="U15" s="289" t="s">
        <v>6</v>
      </c>
      <c r="V15" s="289" t="s">
        <v>7</v>
      </c>
      <c r="W15" s="289" t="s">
        <v>8</v>
      </c>
      <c r="X15" s="289" t="s">
        <v>9</v>
      </c>
      <c r="Z15" s="289" t="s">
        <v>0</v>
      </c>
      <c r="AA15" s="289" t="s">
        <v>1</v>
      </c>
      <c r="AB15" s="289" t="s">
        <v>2</v>
      </c>
      <c r="AC15" s="289" t="s">
        <v>3</v>
      </c>
      <c r="AD15" s="289" t="s">
        <v>4</v>
      </c>
      <c r="AE15" s="289" t="s">
        <v>5</v>
      </c>
      <c r="AF15" s="289" t="s">
        <v>6</v>
      </c>
      <c r="AG15" s="289" t="s">
        <v>7</v>
      </c>
      <c r="AH15" s="289" t="s">
        <v>8</v>
      </c>
      <c r="AI15" s="289" t="s">
        <v>9</v>
      </c>
      <c r="AK15" s="289" t="s">
        <v>0</v>
      </c>
      <c r="AL15" s="289" t="s">
        <v>1</v>
      </c>
      <c r="AM15" s="289" t="s">
        <v>2</v>
      </c>
      <c r="AN15" s="289" t="s">
        <v>3</v>
      </c>
      <c r="AO15" s="289" t="s">
        <v>4</v>
      </c>
      <c r="AP15" s="289" t="s">
        <v>5</v>
      </c>
      <c r="AQ15" s="289" t="s">
        <v>6</v>
      </c>
      <c r="AR15" s="289" t="s">
        <v>7</v>
      </c>
      <c r="AS15" s="289" t="s">
        <v>8</v>
      </c>
      <c r="AT15" s="289" t="s">
        <v>9</v>
      </c>
    </row>
    <row r="16" spans="1:46">
      <c r="A16" t="s">
        <v>39</v>
      </c>
      <c r="B16" s="63" t="s">
        <v>40</v>
      </c>
      <c r="C16" s="3"/>
      <c r="D16" s="67">
        <f>'4 RAB Overview'!N9</f>
        <v>3708.7453635684433</v>
      </c>
      <c r="E16" s="67">
        <f>'4 RAB Overview'!O9</f>
        <v>3584.700505978265</v>
      </c>
      <c r="F16" s="67">
        <f>'4 RAB Overview'!P9</f>
        <v>3447.7427916968099</v>
      </c>
      <c r="G16" s="273">
        <f>'4 RAB Overview'!Q9</f>
        <v>3355.1942301830795</v>
      </c>
      <c r="H16" s="273">
        <f>'4 RAB Overview'!R9</f>
        <v>3198.8039607720307</v>
      </c>
      <c r="I16" s="69">
        <f>'4 RAB Overview'!S9</f>
        <v>3090.3915434910191</v>
      </c>
      <c r="J16" s="68">
        <f>'4 RAB Overview'!T9</f>
        <v>4574.9970115403839</v>
      </c>
      <c r="K16" s="68">
        <f>'4 RAB Overview'!U9</f>
        <v>4415.5107233497492</v>
      </c>
      <c r="L16" s="68">
        <f>'4 RAB Overview'!V9</f>
        <v>4253.7108803816745</v>
      </c>
      <c r="M16" s="68">
        <f>'4 RAB Overview'!W9</f>
        <v>4089.583601307495</v>
      </c>
      <c r="O16" s="249">
        <f>D16/F$8</f>
        <v>3627.8737163904016</v>
      </c>
      <c r="P16" s="249">
        <f t="shared" ref="P16:Q16" si="2">E16/G$8</f>
        <v>3387.3167752351897</v>
      </c>
      <c r="Q16" s="249">
        <f t="shared" si="2"/>
        <v>3151.9050119301905</v>
      </c>
      <c r="R16" s="249">
        <f>G16*(Inflation!$F$6/Inflation!$K$6)</f>
        <v>2976.8326324004629</v>
      </c>
      <c r="S16" s="249">
        <f>H16*(Inflation!$F$6/Inflation!$K$6)</f>
        <v>2838.0783232803892</v>
      </c>
      <c r="T16" s="290">
        <f>I16</f>
        <v>3090.3915434910191</v>
      </c>
      <c r="U16" s="290">
        <f t="shared" ref="U16" si="3">J16</f>
        <v>4574.9970115403839</v>
      </c>
      <c r="V16" s="290">
        <f t="shared" ref="V16" si="4">K16</f>
        <v>4415.5107233497492</v>
      </c>
      <c r="W16" s="290">
        <f t="shared" ref="W16" si="5">L16</f>
        <v>4253.7108803816745</v>
      </c>
      <c r="X16" s="290">
        <f t="shared" ref="X16" si="6">M16</f>
        <v>4089.583601307495</v>
      </c>
      <c r="Z16" s="249">
        <f>'RAB summary'!I11</f>
        <v>2497.3320646319571</v>
      </c>
      <c r="AA16" s="249">
        <f>'RAB summary'!J11</f>
        <v>2521.4164992726342</v>
      </c>
      <c r="AB16" s="249">
        <f>'RAB summary'!K11</f>
        <v>2488.6356332250848</v>
      </c>
      <c r="AC16" s="249">
        <f>'RAB summary'!L11</f>
        <v>2458.0572819004556</v>
      </c>
      <c r="AD16" s="249">
        <f>'RAB summary'!M11</f>
        <v>2372.8221649837687</v>
      </c>
      <c r="AE16" s="290">
        <f>'RAB summary'!I59</f>
        <v>2202.4221778593246</v>
      </c>
      <c r="AF16" s="290">
        <f>'RAB summary'!J59</f>
        <v>2118.0953857001009</v>
      </c>
      <c r="AG16" s="290">
        <f>'RAB summary'!K59</f>
        <v>2031.8685935408769</v>
      </c>
      <c r="AH16" s="290">
        <f>'RAB summary'!L59</f>
        <v>1906.991801381653</v>
      </c>
      <c r="AI16" s="290">
        <f>'RAB summary'!M59</f>
        <v>1781.7150092224292</v>
      </c>
      <c r="AK16" s="291">
        <f>Z16-O16</f>
        <v>-1130.5416517584445</v>
      </c>
      <c r="AL16" s="291">
        <f t="shared" ref="AL16:AT16" si="7">AA16-P16</f>
        <v>-865.9002759625555</v>
      </c>
      <c r="AM16" s="291">
        <f t="shared" si="7"/>
        <v>-663.26937870510574</v>
      </c>
      <c r="AN16" s="291">
        <f t="shared" si="7"/>
        <v>-518.77535050000733</v>
      </c>
      <c r="AO16" s="291">
        <f t="shared" si="7"/>
        <v>-465.25615829662047</v>
      </c>
      <c r="AP16" s="291">
        <f t="shared" si="7"/>
        <v>-887.96936563169447</v>
      </c>
      <c r="AQ16" s="291">
        <f t="shared" si="7"/>
        <v>-2456.901625840283</v>
      </c>
      <c r="AR16" s="291">
        <f t="shared" si="7"/>
        <v>-2383.6421298088726</v>
      </c>
      <c r="AS16" s="291">
        <f t="shared" si="7"/>
        <v>-2346.7190790000213</v>
      </c>
      <c r="AT16" s="291">
        <f t="shared" si="7"/>
        <v>-2307.8685920850658</v>
      </c>
    </row>
    <row r="17" spans="1:46">
      <c r="A17" t="s">
        <v>59</v>
      </c>
      <c r="B17" s="63" t="s">
        <v>40</v>
      </c>
      <c r="C17" s="3"/>
      <c r="D17" s="67">
        <f>'4 RAB Overview'!N10</f>
        <v>29.1779346977812</v>
      </c>
      <c r="E17" s="67">
        <f>'4 RAB Overview'!O10</f>
        <v>16.597018373983737</v>
      </c>
      <c r="F17" s="67">
        <f>'4 RAB Overview'!P10</f>
        <v>62.589909703253483</v>
      </c>
      <c r="G17" s="273">
        <f>'4 RAB Overview'!Q10</f>
        <v>0</v>
      </c>
      <c r="H17" s="273">
        <f>'4 RAB Overview'!R10</f>
        <v>0</v>
      </c>
      <c r="I17" s="70">
        <f>'4 RAB Overview'!S10</f>
        <v>1677.002</v>
      </c>
      <c r="J17" s="68">
        <f>'4 RAB Overview'!T10</f>
        <v>67.806411999999995</v>
      </c>
      <c r="K17" s="68">
        <f>'4 RAB Overview'!U10</f>
        <v>68.213250471999999</v>
      </c>
      <c r="L17" s="68">
        <f>'4 RAB Overview'!V10</f>
        <v>68.622529974832005</v>
      </c>
      <c r="M17" s="68">
        <f>'4 RAB Overview'!W10</f>
        <v>69.034265154680995</v>
      </c>
      <c r="O17" s="249">
        <f t="shared" ref="O17:O20" si="8">D17/F$8</f>
        <v>28.541690521127212</v>
      </c>
      <c r="P17" s="249">
        <f t="shared" ref="P17:P20" si="9">E17/G$8</f>
        <v>15.683139683028978</v>
      </c>
      <c r="Q17" s="249">
        <f t="shared" ref="Q17:Q20" si="10">F17/H$8</f>
        <v>57.219306081951785</v>
      </c>
      <c r="R17" s="249">
        <f>G17*(Inflation!$F$6/Inflation!$K$6)</f>
        <v>0</v>
      </c>
      <c r="S17" s="249">
        <f>H17*(Inflation!$F$6/Inflation!$K$6)</f>
        <v>0</v>
      </c>
      <c r="T17" s="290">
        <f>I17</f>
        <v>1677.002</v>
      </c>
      <c r="U17" s="290">
        <f t="shared" ref="U17:U20" si="11">J17</f>
        <v>67.806411999999995</v>
      </c>
      <c r="V17" s="290">
        <f t="shared" ref="V17:V20" si="12">K17</f>
        <v>68.213250471999999</v>
      </c>
      <c r="W17" s="290">
        <f t="shared" ref="W17:W20" si="13">L17</f>
        <v>68.622529974832005</v>
      </c>
      <c r="X17" s="290">
        <f t="shared" ref="X17:X20" si="14">M17</f>
        <v>69.034265154680995</v>
      </c>
      <c r="Z17" s="249">
        <f>'RAB summary'!I12</f>
        <v>98</v>
      </c>
      <c r="AA17" s="249">
        <f>'RAB summary'!J12</f>
        <v>13</v>
      </c>
      <c r="AB17" s="249">
        <f>'RAB summary'!K12</f>
        <v>8.5</v>
      </c>
      <c r="AC17" s="249">
        <f>'RAB summary'!L12</f>
        <v>19.5</v>
      </c>
      <c r="AD17" s="249">
        <f>'RAB summary'!M12</f>
        <v>0</v>
      </c>
      <c r="AE17" s="290">
        <f>'RAB summary'!I60</f>
        <v>47.5</v>
      </c>
      <c r="AF17" s="290">
        <f>'RAB summary'!J60</f>
        <v>47.5</v>
      </c>
      <c r="AG17" s="290">
        <f>'RAB summary'!K60</f>
        <v>10</v>
      </c>
      <c r="AH17" s="290">
        <f>'RAB summary'!L60</f>
        <v>10.000000000000002</v>
      </c>
      <c r="AI17" s="290">
        <f>'RAB summary'!M60</f>
        <v>10</v>
      </c>
      <c r="AK17" s="291">
        <f t="shared" ref="AK17:AK20" si="15">Z17-O17</f>
        <v>69.458309478872792</v>
      </c>
      <c r="AL17" s="291">
        <f t="shared" ref="AL17:AL20" si="16">AA17-P17</f>
        <v>-2.683139683028978</v>
      </c>
      <c r="AM17" s="291">
        <f t="shared" ref="AM17:AM20" si="17">AB17-Q17</f>
        <v>-48.719306081951785</v>
      </c>
      <c r="AN17" s="291">
        <f t="shared" ref="AN17:AN20" si="18">AC17-R17</f>
        <v>19.5</v>
      </c>
      <c r="AO17" s="291">
        <f t="shared" ref="AO17:AO20" si="19">AD17-S17</f>
        <v>0</v>
      </c>
      <c r="AP17" s="291">
        <f t="shared" ref="AP17:AP20" si="20">AE17-T17</f>
        <v>-1629.502</v>
      </c>
      <c r="AQ17" s="291">
        <f t="shared" ref="AQ17:AQ20" si="21">AF17-U17</f>
        <v>-20.306411999999995</v>
      </c>
      <c r="AR17" s="291">
        <f t="shared" ref="AR17:AR20" si="22">AG17-V17</f>
        <v>-58.213250471999999</v>
      </c>
      <c r="AS17" s="291">
        <f t="shared" ref="AS17:AS20" si="23">AH17-W17</f>
        <v>-58.622529974832005</v>
      </c>
      <c r="AT17" s="291">
        <f t="shared" ref="AT17:AT20" si="24">AI17-X17</f>
        <v>-59.034265154680995</v>
      </c>
    </row>
    <row r="18" spans="1:46">
      <c r="A18" t="s">
        <v>60</v>
      </c>
      <c r="B18" s="63" t="s">
        <v>40</v>
      </c>
      <c r="C18" s="3"/>
      <c r="D18" s="67">
        <f>'4 RAB Overview'!N13</f>
        <v>153.22279228795929</v>
      </c>
      <c r="E18" s="67">
        <f>'4 RAB Overview'!O13</f>
        <v>153.55473265543898</v>
      </c>
      <c r="F18" s="67">
        <f>'4 RAB Overview'!P13</f>
        <v>155.1384712169837</v>
      </c>
      <c r="G18" s="273">
        <f>'4 RAB Overview'!Q13</f>
        <v>156.39026941104879</v>
      </c>
      <c r="H18" s="273">
        <f>'4 RAB Overview'!R13</f>
        <v>156.39026941104879</v>
      </c>
      <c r="I18" s="70">
        <f>'4 RAB Overview'!S13</f>
        <v>192.39653195063499</v>
      </c>
      <c r="J18" s="68">
        <f>'4 RAB Overview'!T13</f>
        <v>227.29270019063497</v>
      </c>
      <c r="K18" s="68">
        <f>'4 RAB Overview'!U13</f>
        <v>230.01309344007498</v>
      </c>
      <c r="L18" s="68">
        <f>'4 RAB Overview'!V13</f>
        <v>232.74980904901162</v>
      </c>
      <c r="M18" s="68">
        <f>'4 RAB Overview'!W13</f>
        <v>235.5029449516019</v>
      </c>
      <c r="O18" s="249">
        <f t="shared" si="8"/>
        <v>149.88166789606424</v>
      </c>
      <c r="P18" s="249">
        <f t="shared" si="9"/>
        <v>145.09957553583055</v>
      </c>
      <c r="Q18" s="249">
        <f t="shared" si="10"/>
        <v>141.8266252777359</v>
      </c>
      <c r="R18" s="249">
        <f>G18*(Inflation!$F$6/Inflation!$K$6)</f>
        <v>138.75430912007346</v>
      </c>
      <c r="S18" s="249">
        <f>H18*(Inflation!$F$6/Inflation!$K$6)</f>
        <v>138.75430912007346</v>
      </c>
      <c r="T18" s="290">
        <f>I18</f>
        <v>192.39653195063499</v>
      </c>
      <c r="U18" s="290">
        <f t="shared" si="11"/>
        <v>227.29270019063497</v>
      </c>
      <c r="V18" s="290">
        <f t="shared" si="12"/>
        <v>230.01309344007498</v>
      </c>
      <c r="W18" s="290">
        <f t="shared" si="13"/>
        <v>232.74980904901162</v>
      </c>
      <c r="X18" s="290">
        <f t="shared" si="14"/>
        <v>235.5029449516019</v>
      </c>
      <c r="Z18" s="249">
        <f>'RAB summary'!I13</f>
        <v>159.63999918529629</v>
      </c>
      <c r="AA18" s="249">
        <f>'RAB summary'!J13</f>
        <v>126.74827492258814</v>
      </c>
      <c r="AB18" s="249">
        <f>'RAB summary'!K13</f>
        <v>111.57483604410805</v>
      </c>
      <c r="AC18" s="249">
        <f>'RAB summary'!L13</f>
        <v>140.41665323223285</v>
      </c>
      <c r="AD18" s="249">
        <f>'RAB summary'!M13</f>
        <v>149.93137952352154</v>
      </c>
      <c r="AE18" s="290">
        <f>'RAB summary'!I61</f>
        <v>131.82679215922394</v>
      </c>
      <c r="AF18" s="290">
        <f>'RAB summary'!J61</f>
        <v>133.72679215922392</v>
      </c>
      <c r="AG18" s="290">
        <f>'RAB summary'!K61</f>
        <v>134.87679215922398</v>
      </c>
      <c r="AH18" s="290">
        <f>'RAB summary'!L61</f>
        <v>135.27679215922393</v>
      </c>
      <c r="AI18" s="290">
        <f>'RAB summary'!M61</f>
        <v>135.67679215922396</v>
      </c>
      <c r="AK18" s="291">
        <f t="shared" si="15"/>
        <v>9.7583312892320464</v>
      </c>
      <c r="AL18" s="291">
        <f t="shared" si="16"/>
        <v>-18.351300613242415</v>
      </c>
      <c r="AM18" s="291">
        <f t="shared" si="17"/>
        <v>-30.251789233627846</v>
      </c>
      <c r="AN18" s="291">
        <f t="shared" si="18"/>
        <v>1.6623441121593885</v>
      </c>
      <c r="AO18" s="291">
        <f t="shared" si="19"/>
        <v>11.177070403448084</v>
      </c>
      <c r="AP18" s="291">
        <f t="shared" si="20"/>
        <v>-60.569739791411052</v>
      </c>
      <c r="AQ18" s="291">
        <f t="shared" si="21"/>
        <v>-93.565908031411055</v>
      </c>
      <c r="AR18" s="291">
        <f t="shared" si="22"/>
        <v>-95.136301280851001</v>
      </c>
      <c r="AS18" s="291">
        <f t="shared" si="23"/>
        <v>-97.473016889787687</v>
      </c>
      <c r="AT18" s="291">
        <f t="shared" si="24"/>
        <v>-99.82615279237794</v>
      </c>
    </row>
    <row r="19" spans="1:46">
      <c r="A19" t="s">
        <v>45</v>
      </c>
      <c r="B19" s="63" t="s">
        <v>40</v>
      </c>
      <c r="C19" s="3"/>
      <c r="D19" s="67">
        <f>'4 RAB Overview'!N14</f>
        <v>3584.700505978265</v>
      </c>
      <c r="E19" s="67">
        <f>'4 RAB Overview'!O14</f>
        <v>3447.7427916968099</v>
      </c>
      <c r="F19" s="67">
        <f>'4 RAB Overview'!P14</f>
        <v>3355.1942301830795</v>
      </c>
      <c r="G19" s="273">
        <f>'4 RAB Overview'!Q14</f>
        <v>3198.8039607720307</v>
      </c>
      <c r="H19" s="274">
        <f>'4 RAB Overview'!R14</f>
        <v>3042.4136913609818</v>
      </c>
      <c r="I19" s="70">
        <f>'4 RAB Overview'!S14</f>
        <v>4574.9970115403839</v>
      </c>
      <c r="J19" s="68">
        <f>'4 RAB Overview'!T14</f>
        <v>4415.5107233497492</v>
      </c>
      <c r="K19" s="68">
        <f>'4 RAB Overview'!U14</f>
        <v>4253.7108803816745</v>
      </c>
      <c r="L19" s="68">
        <f>'4 RAB Overview'!V14</f>
        <v>4089.583601307495</v>
      </c>
      <c r="M19" s="68">
        <f>'4 RAB Overview'!W14</f>
        <v>3923.1149215105738</v>
      </c>
      <c r="O19" s="249">
        <f t="shared" si="8"/>
        <v>3506.5337390154641</v>
      </c>
      <c r="P19" s="249">
        <f t="shared" si="9"/>
        <v>3257.9003393823882</v>
      </c>
      <c r="Q19" s="249">
        <f t="shared" si="10"/>
        <v>3067.2976927344062</v>
      </c>
      <c r="R19" s="249">
        <f>G19*(Inflation!$F$6/Inflation!$K$6)</f>
        <v>2838.0783232803892</v>
      </c>
      <c r="S19" s="249">
        <f>H19*(Inflation!$F$6/Inflation!$K$6)</f>
        <v>2699.324014160316</v>
      </c>
      <c r="T19" s="290">
        <f>I19</f>
        <v>4574.9970115403839</v>
      </c>
      <c r="U19" s="290">
        <f t="shared" si="11"/>
        <v>4415.5107233497492</v>
      </c>
      <c r="V19" s="290">
        <f t="shared" si="12"/>
        <v>4253.7108803816745</v>
      </c>
      <c r="W19" s="290">
        <f t="shared" si="13"/>
        <v>4089.583601307495</v>
      </c>
      <c r="X19" s="290">
        <f t="shared" si="14"/>
        <v>3923.1149215105738</v>
      </c>
      <c r="Z19" s="249">
        <f>'RAB summary'!I14</f>
        <v>2435.6920654466612</v>
      </c>
      <c r="AA19" s="249">
        <f>'RAB summary'!J14</f>
        <v>2407.6682243500463</v>
      </c>
      <c r="AB19" s="249">
        <f>'RAB summary'!K14</f>
        <v>2385.5607971809768</v>
      </c>
      <c r="AC19" s="249">
        <f>'RAB summary'!L14</f>
        <v>2337.1406286682231</v>
      </c>
      <c r="AD19" s="249">
        <f>'RAB summary'!M14</f>
        <v>2222.8907854602471</v>
      </c>
      <c r="AE19" s="290">
        <f>'RAB summary'!I62</f>
        <v>2118.0953857001009</v>
      </c>
      <c r="AF19" s="290">
        <f>'RAB summary'!J62</f>
        <v>2031.8685935408769</v>
      </c>
      <c r="AG19" s="290">
        <f>'RAB summary'!K62</f>
        <v>1906.991801381653</v>
      </c>
      <c r="AH19" s="290">
        <f>'RAB summary'!L62</f>
        <v>1781.7150092224292</v>
      </c>
      <c r="AI19" s="290">
        <f>'RAB summary'!M62</f>
        <v>1656.0382170632051</v>
      </c>
      <c r="AK19" s="291">
        <f t="shared" si="15"/>
        <v>-1070.8416735688029</v>
      </c>
      <c r="AL19" s="291">
        <f t="shared" si="16"/>
        <v>-850.23211503234188</v>
      </c>
      <c r="AM19" s="291">
        <f t="shared" si="17"/>
        <v>-681.73689555342935</v>
      </c>
      <c r="AN19" s="291">
        <f t="shared" si="18"/>
        <v>-500.93769461216607</v>
      </c>
      <c r="AO19" s="291">
        <f t="shared" si="19"/>
        <v>-476.43322870006887</v>
      </c>
      <c r="AP19" s="291">
        <f t="shared" si="20"/>
        <v>-2456.901625840283</v>
      </c>
      <c r="AQ19" s="291">
        <f t="shared" si="21"/>
        <v>-2383.6421298088726</v>
      </c>
      <c r="AR19" s="291">
        <f t="shared" si="22"/>
        <v>-2346.7190790000213</v>
      </c>
      <c r="AS19" s="291">
        <f t="shared" si="23"/>
        <v>-2307.8685920850658</v>
      </c>
      <c r="AT19" s="291">
        <f t="shared" si="24"/>
        <v>-2267.0767044473687</v>
      </c>
    </row>
    <row r="20" spans="1:46">
      <c r="A20" t="s">
        <v>46</v>
      </c>
      <c r="B20" s="63" t="s">
        <v>40</v>
      </c>
      <c r="C20" s="3"/>
      <c r="D20" s="67">
        <f>'4 RAB Overview'!N15</f>
        <v>3646.7229347733542</v>
      </c>
      <c r="E20" s="67">
        <f>'4 RAB Overview'!O15</f>
        <v>3516.2216488375375</v>
      </c>
      <c r="F20" s="67">
        <f>'4 RAB Overview'!P15</f>
        <v>3401.4685109399447</v>
      </c>
      <c r="G20" s="273">
        <f>'4 RAB Overview'!Q15</f>
        <v>3276.9990954775549</v>
      </c>
      <c r="H20" s="273">
        <f>'4 RAB Overview'!R15</f>
        <v>3120.6088260665065</v>
      </c>
      <c r="I20" s="70">
        <f>'4 RAB Overview'!S15</f>
        <v>3832.6942775157013</v>
      </c>
      <c r="J20" s="68">
        <f>'4 RAB Overview'!T15</f>
        <v>4495.2538674450661</v>
      </c>
      <c r="K20" s="68">
        <f>'4 RAB Overview'!U15</f>
        <v>4334.6108018657123</v>
      </c>
      <c r="L20" s="68">
        <f>'4 RAB Overview'!V15</f>
        <v>4171.6472408445843</v>
      </c>
      <c r="M20" s="68">
        <f>'4 RAB Overview'!W15</f>
        <v>4006.3492614090346</v>
      </c>
      <c r="O20" s="249">
        <f t="shared" si="8"/>
        <v>3567.2037277029326</v>
      </c>
      <c r="P20" s="249">
        <f t="shared" si="9"/>
        <v>3322.6085573087889</v>
      </c>
      <c r="Q20" s="249">
        <f t="shared" si="10"/>
        <v>3109.6013523322981</v>
      </c>
      <c r="R20" s="249">
        <f>G20*(Inflation!$F$6/Inflation!$K$6)</f>
        <v>2907.4554778404258</v>
      </c>
      <c r="S20" s="249">
        <f>H20*(Inflation!$F$6/Inflation!$K$6)</f>
        <v>2768.7011687203526</v>
      </c>
      <c r="T20" s="290">
        <f>I20</f>
        <v>3832.6942775157013</v>
      </c>
      <c r="U20" s="290">
        <f t="shared" si="11"/>
        <v>4495.2538674450661</v>
      </c>
      <c r="V20" s="290">
        <f t="shared" si="12"/>
        <v>4334.6108018657123</v>
      </c>
      <c r="W20" s="290">
        <f t="shared" si="13"/>
        <v>4171.6472408445843</v>
      </c>
      <c r="X20" s="290">
        <f t="shared" si="14"/>
        <v>4006.3492614090346</v>
      </c>
      <c r="Z20" s="249">
        <f>'RAB summary'!I15</f>
        <v>2466.5120650393096</v>
      </c>
      <c r="AA20" s="249">
        <f>'RAB summary'!J15</f>
        <v>2464.54236181134</v>
      </c>
      <c r="AB20" s="249">
        <f>'RAB summary'!K15</f>
        <v>2437.0982152030306</v>
      </c>
      <c r="AC20" s="249">
        <f>'RAB summary'!L15</f>
        <v>2397.5989552843394</v>
      </c>
      <c r="AD20" s="249">
        <f>'RAB summary'!M15</f>
        <v>2297.8564752220077</v>
      </c>
      <c r="AE20" s="290">
        <f>'RAB summary'!I63</f>
        <v>2160.258781779713</v>
      </c>
      <c r="AF20" s="290">
        <f>'RAB summary'!J63</f>
        <v>2074.981989620489</v>
      </c>
      <c r="AG20" s="290">
        <f>'RAB summary'!K63</f>
        <v>1969.4301974612649</v>
      </c>
      <c r="AH20" s="290">
        <f>'RAB summary'!L63</f>
        <v>1844.3534053020412</v>
      </c>
      <c r="AI20" s="290">
        <f>'RAB summary'!M63</f>
        <v>1718.876613142817</v>
      </c>
      <c r="AK20" s="291">
        <f t="shared" si="15"/>
        <v>-1100.691662663623</v>
      </c>
      <c r="AL20" s="291">
        <f t="shared" si="16"/>
        <v>-858.06619549744892</v>
      </c>
      <c r="AM20" s="291">
        <f t="shared" si="17"/>
        <v>-672.50313712926754</v>
      </c>
      <c r="AN20" s="291">
        <f t="shared" si="18"/>
        <v>-509.85652255608647</v>
      </c>
      <c r="AO20" s="291">
        <f t="shared" si="19"/>
        <v>-470.8446934983449</v>
      </c>
      <c r="AP20" s="291">
        <f t="shared" si="20"/>
        <v>-1672.4354957359883</v>
      </c>
      <c r="AQ20" s="291">
        <f t="shared" si="21"/>
        <v>-2420.2718778245771</v>
      </c>
      <c r="AR20" s="291">
        <f t="shared" si="22"/>
        <v>-2365.1806044044474</v>
      </c>
      <c r="AS20" s="291">
        <f t="shared" si="23"/>
        <v>-2327.2938355425431</v>
      </c>
      <c r="AT20" s="291">
        <f t="shared" si="24"/>
        <v>-2287.4726482662177</v>
      </c>
    </row>
    <row r="21" spans="1:46">
      <c r="B21" s="63"/>
      <c r="C21" s="3"/>
      <c r="D21" s="249"/>
      <c r="E21" s="249"/>
      <c r="F21" s="249"/>
      <c r="G21" s="249"/>
      <c r="H21" s="249"/>
      <c r="I21" s="262"/>
      <c r="J21" s="249"/>
      <c r="K21" s="249"/>
      <c r="L21" s="249"/>
      <c r="M21" s="249"/>
      <c r="O21" s="249"/>
      <c r="P21" s="249"/>
      <c r="Q21" s="249"/>
      <c r="R21" s="249"/>
      <c r="S21" s="249"/>
      <c r="T21" s="262"/>
      <c r="U21" s="249"/>
      <c r="V21" s="249"/>
      <c r="W21" s="249"/>
      <c r="X21" s="249"/>
      <c r="Z21" s="249"/>
      <c r="AA21" s="249"/>
      <c r="AB21" s="249"/>
      <c r="AC21" s="249"/>
      <c r="AD21" s="249"/>
      <c r="AE21" s="262"/>
      <c r="AF21" s="249"/>
      <c r="AG21" s="249"/>
      <c r="AH21" s="249"/>
      <c r="AI21" s="249"/>
      <c r="AK21" s="249">
        <f>AK16+AK17-AK18-AK19</f>
        <v>0</v>
      </c>
      <c r="AL21" s="249">
        <f t="shared" ref="AL21:AT21" si="25">AL16+AL17-AL18-AL19</f>
        <v>0</v>
      </c>
      <c r="AM21" s="249">
        <f t="shared" si="25"/>
        <v>0</v>
      </c>
      <c r="AN21" s="249">
        <f t="shared" si="25"/>
        <v>-6.8212102632969618E-13</v>
      </c>
      <c r="AO21" s="249">
        <f t="shared" si="25"/>
        <v>0</v>
      </c>
      <c r="AP21" s="249">
        <f t="shared" si="25"/>
        <v>0</v>
      </c>
      <c r="AQ21" s="249">
        <f t="shared" si="25"/>
        <v>0</v>
      </c>
      <c r="AR21" s="249">
        <f t="shared" si="25"/>
        <v>0</v>
      </c>
      <c r="AS21" s="249">
        <f t="shared" si="25"/>
        <v>0</v>
      </c>
      <c r="AT21" s="249">
        <f t="shared" si="25"/>
        <v>0</v>
      </c>
    </row>
    <row r="22" spans="1:46">
      <c r="C22" s="258" t="s">
        <v>11</v>
      </c>
      <c r="D22" s="423" t="s">
        <v>56</v>
      </c>
      <c r="E22" s="423"/>
      <c r="F22" s="423"/>
      <c r="G22" s="425" t="s">
        <v>403</v>
      </c>
      <c r="H22" s="425"/>
      <c r="I22" s="424" t="s">
        <v>64</v>
      </c>
      <c r="J22" s="424"/>
      <c r="K22" s="424"/>
      <c r="L22" s="424"/>
      <c r="M22" s="424"/>
      <c r="O22" s="426" t="s">
        <v>217</v>
      </c>
      <c r="P22" s="426"/>
      <c r="Q22" s="426"/>
      <c r="R22" s="426"/>
      <c r="S22" s="426"/>
      <c r="T22" s="426" t="s">
        <v>64</v>
      </c>
      <c r="U22" s="426"/>
      <c r="V22" s="426"/>
      <c r="W22" s="426"/>
      <c r="X22" s="426"/>
      <c r="Z22" s="426" t="s">
        <v>217</v>
      </c>
      <c r="AA22" s="426"/>
      <c r="AB22" s="426"/>
      <c r="AC22" s="426"/>
      <c r="AD22" s="426"/>
      <c r="AE22" s="426" t="s">
        <v>64</v>
      </c>
      <c r="AF22" s="426"/>
      <c r="AG22" s="426"/>
      <c r="AH22" s="426"/>
      <c r="AI22" s="426"/>
      <c r="AK22" s="426" t="s">
        <v>217</v>
      </c>
      <c r="AL22" s="426"/>
      <c r="AM22" s="426"/>
      <c r="AN22" s="426"/>
      <c r="AO22" s="426"/>
      <c r="AP22" s="426" t="s">
        <v>64</v>
      </c>
      <c r="AQ22" s="426"/>
      <c r="AR22" s="426"/>
      <c r="AS22" s="426"/>
      <c r="AT22" s="426"/>
    </row>
    <row r="23" spans="1:46">
      <c r="A23" s="1" t="s">
        <v>58</v>
      </c>
      <c r="B23" s="1" t="s">
        <v>10</v>
      </c>
      <c r="C23" s="1"/>
      <c r="D23" s="264" t="s">
        <v>0</v>
      </c>
      <c r="E23" s="264" t="s">
        <v>1</v>
      </c>
      <c r="F23" s="264" t="s">
        <v>2</v>
      </c>
      <c r="G23" s="272" t="s">
        <v>3</v>
      </c>
      <c r="H23" s="272" t="s">
        <v>4</v>
      </c>
      <c r="I23" s="265" t="s">
        <v>5</v>
      </c>
      <c r="J23" s="265" t="s">
        <v>6</v>
      </c>
      <c r="K23" s="265" t="s">
        <v>7</v>
      </c>
      <c r="L23" s="265" t="s">
        <v>8</v>
      </c>
      <c r="M23" s="265" t="s">
        <v>9</v>
      </c>
      <c r="O23" s="289" t="s">
        <v>0</v>
      </c>
      <c r="P23" s="289" t="s">
        <v>1</v>
      </c>
      <c r="Q23" s="289" t="s">
        <v>2</v>
      </c>
      <c r="R23" s="289" t="s">
        <v>3</v>
      </c>
      <c r="S23" s="289" t="s">
        <v>4</v>
      </c>
      <c r="T23" s="289" t="s">
        <v>5</v>
      </c>
      <c r="U23" s="289" t="s">
        <v>6</v>
      </c>
      <c r="V23" s="289" t="s">
        <v>7</v>
      </c>
      <c r="W23" s="289" t="s">
        <v>8</v>
      </c>
      <c r="X23" s="289" t="s">
        <v>9</v>
      </c>
      <c r="Z23" s="289" t="s">
        <v>0</v>
      </c>
      <c r="AA23" s="289" t="s">
        <v>1</v>
      </c>
      <c r="AB23" s="289" t="s">
        <v>2</v>
      </c>
      <c r="AC23" s="289" t="s">
        <v>3</v>
      </c>
      <c r="AD23" s="289" t="s">
        <v>4</v>
      </c>
      <c r="AE23" s="289" t="s">
        <v>5</v>
      </c>
      <c r="AF23" s="289" t="s">
        <v>6</v>
      </c>
      <c r="AG23" s="289" t="s">
        <v>7</v>
      </c>
      <c r="AH23" s="289" t="s">
        <v>8</v>
      </c>
      <c r="AI23" s="289" t="s">
        <v>9</v>
      </c>
      <c r="AK23" s="289" t="s">
        <v>0</v>
      </c>
      <c r="AL23" s="289" t="s">
        <v>1</v>
      </c>
      <c r="AM23" s="289" t="s">
        <v>2</v>
      </c>
      <c r="AN23" s="289" t="s">
        <v>3</v>
      </c>
      <c r="AO23" s="289" t="s">
        <v>4</v>
      </c>
      <c r="AP23" s="289" t="s">
        <v>5</v>
      </c>
      <c r="AQ23" s="289" t="s">
        <v>6</v>
      </c>
      <c r="AR23" s="289" t="s">
        <v>7</v>
      </c>
      <c r="AS23" s="289" t="s">
        <v>8</v>
      </c>
      <c r="AT23" s="289" t="s">
        <v>9</v>
      </c>
    </row>
    <row r="24" spans="1:46">
      <c r="A24" t="s">
        <v>39</v>
      </c>
      <c r="B24" s="63" t="s">
        <v>40</v>
      </c>
      <c r="C24" s="3"/>
      <c r="D24" s="67">
        <f>'4 RAB Overview'!N17</f>
        <v>8463.3620280238392</v>
      </c>
      <c r="E24" s="67">
        <f>'4 RAB Overview'!O17</f>
        <v>8318.2814068435891</v>
      </c>
      <c r="F24" s="67">
        <f>'4 RAB Overview'!P17</f>
        <v>6778.2509357764211</v>
      </c>
      <c r="G24" s="273">
        <f>'4 RAB Overview'!Q17</f>
        <v>5524.3884169944122</v>
      </c>
      <c r="H24" s="273">
        <f>'4 RAB Overview'!R17</f>
        <v>4111.9524941935806</v>
      </c>
      <c r="I24" s="69">
        <f>'4 RAB Overview'!S17</f>
        <v>4773.7377739461499</v>
      </c>
      <c r="J24" s="68">
        <f>'4 RAB Overview'!T17</f>
        <v>9016.755805600751</v>
      </c>
      <c r="K24" s="68">
        <f>'4 RAB Overview'!U17</f>
        <v>12667.643925283634</v>
      </c>
      <c r="L24" s="68">
        <f>'4 RAB Overview'!V17</f>
        <v>12740.576558824232</v>
      </c>
      <c r="M24" s="68">
        <f>'4 RAB Overview'!W17</f>
        <v>11801.7481648428</v>
      </c>
      <c r="O24" s="249">
        <f t="shared" ref="O24:O28" si="26">D24/F$8</f>
        <v>8278.8128177723629</v>
      </c>
      <c r="P24" s="249">
        <f t="shared" ref="P24:P28" si="27">E24/G$8</f>
        <v>7860.2533471171682</v>
      </c>
      <c r="Q24" s="249">
        <f t="shared" ref="Q24:Q28" si="28">F24/H$8</f>
        <v>6196.6348383197383</v>
      </c>
      <c r="R24" s="249">
        <f>G24*(Inflation!$F$6/Inflation!$K$6)</f>
        <v>4901.4091541480611</v>
      </c>
      <c r="S24" s="249">
        <f>H24*(Inflation!$F$6/Inflation!$K$6)</f>
        <v>3648.2520914826459</v>
      </c>
      <c r="T24" s="290">
        <f>I24</f>
        <v>4773.7377739461499</v>
      </c>
      <c r="U24" s="290">
        <f t="shared" ref="U24:U28" si="29">J24</f>
        <v>9016.755805600751</v>
      </c>
      <c r="V24" s="290">
        <f t="shared" ref="V24:V28" si="30">K24</f>
        <v>12667.643925283634</v>
      </c>
      <c r="W24" s="290">
        <f t="shared" ref="W24:W28" si="31">L24</f>
        <v>12740.576558824232</v>
      </c>
      <c r="X24" s="290">
        <f t="shared" ref="X24:X28" si="32">M24</f>
        <v>11801.7481648428</v>
      </c>
      <c r="Z24" s="249">
        <f>RAB!I340</f>
        <v>6430.878756370128</v>
      </c>
      <c r="AA24" s="249">
        <f>RAB!J340</f>
        <v>4123.9282629995923</v>
      </c>
      <c r="AB24" s="249">
        <f>RAB!K340</f>
        <v>3330.6208052760635</v>
      </c>
      <c r="AC24" s="249">
        <f>RAB!L340</f>
        <v>2706.5626942784347</v>
      </c>
      <c r="AD24" s="249">
        <f>RAB!M340</f>
        <v>2199.5379535710426</v>
      </c>
      <c r="AE24" s="290">
        <f>'RAB summary'!I52</f>
        <v>2173.3083162634766</v>
      </c>
      <c r="AF24" s="290">
        <f>'RAB summary'!J52</f>
        <v>5690.3512496569911</v>
      </c>
      <c r="AG24" s="290">
        <f>'RAB summary'!K52</f>
        <v>8479.1304639704849</v>
      </c>
      <c r="AH24" s="290">
        <f>'RAB summary'!L52</f>
        <v>8469.3953759820542</v>
      </c>
      <c r="AI24" s="290">
        <f>'RAB summary'!M52</f>
        <v>7897.0475704366763</v>
      </c>
      <c r="AK24" s="291">
        <f t="shared" ref="AK24:AK28" si="33">Z24-O24</f>
        <v>-1847.9340614022349</v>
      </c>
      <c r="AL24" s="291">
        <f t="shared" ref="AL24:AL28" si="34">AA24-P24</f>
        <v>-3736.3250841175759</v>
      </c>
      <c r="AM24" s="291">
        <f t="shared" ref="AM24:AM28" si="35">AB24-Q24</f>
        <v>-2866.0140330436748</v>
      </c>
      <c r="AN24" s="291">
        <f t="shared" ref="AN24:AN28" si="36">AC24-R24</f>
        <v>-2194.8464598696264</v>
      </c>
      <c r="AO24" s="291">
        <f t="shared" ref="AO24:AO28" si="37">AD24-S24</f>
        <v>-1448.7141379116033</v>
      </c>
      <c r="AP24" s="291">
        <f t="shared" ref="AP24:AP28" si="38">AE24-T24</f>
        <v>-2600.4294576826733</v>
      </c>
      <c r="AQ24" s="291">
        <f t="shared" ref="AQ24:AQ28" si="39">AF24-U24</f>
        <v>-3326.40455594376</v>
      </c>
      <c r="AR24" s="291">
        <f t="shared" ref="AR24:AR28" si="40">AG24-V24</f>
        <v>-4188.5134613131486</v>
      </c>
      <c r="AS24" s="291">
        <f t="shared" ref="AS24:AS28" si="41">AH24-W24</f>
        <v>-4271.1811828421778</v>
      </c>
      <c r="AT24" s="291">
        <f t="shared" ref="AT24:AT28" si="42">AI24-X24</f>
        <v>-3904.7005944061239</v>
      </c>
    </row>
    <row r="25" spans="1:46">
      <c r="A25" t="s">
        <v>59</v>
      </c>
      <c r="B25" s="63" t="s">
        <v>40</v>
      </c>
      <c r="C25" s="3"/>
      <c r="D25" s="67">
        <f>'4 RAB Overview'!N18</f>
        <v>3902.4594420198928</v>
      </c>
      <c r="E25" s="67">
        <f>'4 RAB Overview'!O18</f>
        <v>803.5123249593496</v>
      </c>
      <c r="F25" s="67">
        <f>'4 RAB Overview'!P18</f>
        <v>1271.7388932284593</v>
      </c>
      <c r="G25" s="273">
        <f>'4 RAB Overview'!Q18</f>
        <v>825.09922000000006</v>
      </c>
      <c r="H25" s="273">
        <f>'4 RAB Overview'!R18</f>
        <v>2606.0504123199494</v>
      </c>
      <c r="I25" s="70">
        <f>'4 RAB Overview'!S18</f>
        <v>6721.2519419351092</v>
      </c>
      <c r="J25" s="68">
        <f>'4 RAB Overview'!T18</f>
        <v>6895.6699618045741</v>
      </c>
      <c r="K25" s="68">
        <f>'4 RAB Overview'!U18</f>
        <v>4083.3627226290241</v>
      </c>
      <c r="L25" s="68">
        <f>'4 RAB Overview'!V18</f>
        <v>3571.632221615605</v>
      </c>
      <c r="M25" s="68">
        <f>'4 RAB Overview'!W18</f>
        <v>3172.9225777817583</v>
      </c>
      <c r="O25" s="249">
        <f t="shared" si="26"/>
        <v>3817.3637311571788</v>
      </c>
      <c r="P25" s="249">
        <f t="shared" si="27"/>
        <v>759.26866774614075</v>
      </c>
      <c r="Q25" s="249">
        <f t="shared" si="28"/>
        <v>1162.6157847640939</v>
      </c>
      <c r="R25" s="249">
        <f>G25*(Inflation!$F$6/Inflation!$K$6)</f>
        <v>732.05367992366416</v>
      </c>
      <c r="S25" s="249">
        <f>H25*(Inflation!$F$6/Inflation!$K$6)</f>
        <v>2312.1689466697121</v>
      </c>
      <c r="T25" s="290">
        <f>I25</f>
        <v>6721.2519419351092</v>
      </c>
      <c r="U25" s="290">
        <f t="shared" si="29"/>
        <v>6895.6699618045741</v>
      </c>
      <c r="V25" s="290">
        <f t="shared" si="30"/>
        <v>4083.3627226290241</v>
      </c>
      <c r="W25" s="290">
        <f t="shared" si="31"/>
        <v>3571.632221615605</v>
      </c>
      <c r="X25" s="290">
        <f t="shared" si="32"/>
        <v>3172.9225777817583</v>
      </c>
      <c r="Z25" s="249">
        <f>RAB!I341</f>
        <v>1161.5558530986993</v>
      </c>
      <c r="AA25" s="249">
        <f>RAB!J341</f>
        <v>1011.59859571323</v>
      </c>
      <c r="AB25" s="249">
        <f>RAB!K341</f>
        <v>714.96585627457989</v>
      </c>
      <c r="AC25" s="249">
        <f>RAB!L341</f>
        <v>1144.9293199167246</v>
      </c>
      <c r="AD25" s="249">
        <f>RAB!M341</f>
        <v>1445.7902315447709</v>
      </c>
      <c r="AE25" s="290">
        <f>'RAB summary'!I53</f>
        <v>4899.2880820571754</v>
      </c>
      <c r="AF25" s="290">
        <f>'RAB summary'!J53</f>
        <v>4905.0742525586629</v>
      </c>
      <c r="AG25" s="290">
        <f>'RAB summary'!K53</f>
        <v>2668.1268793971562</v>
      </c>
      <c r="AH25" s="290">
        <f>'RAB summary'!L53</f>
        <v>2401.6188785135851</v>
      </c>
      <c r="AI25" s="290">
        <f>'RAB summary'!M53</f>
        <v>2231.9843349734192</v>
      </c>
      <c r="AK25" s="291">
        <f t="shared" si="33"/>
        <v>-2655.8078780584792</v>
      </c>
      <c r="AL25" s="291">
        <f t="shared" si="34"/>
        <v>252.32992796708925</v>
      </c>
      <c r="AM25" s="291">
        <f t="shared" si="35"/>
        <v>-447.64992848951397</v>
      </c>
      <c r="AN25" s="291">
        <f t="shared" si="36"/>
        <v>412.87563999306042</v>
      </c>
      <c r="AO25" s="291">
        <f t="shared" si="37"/>
        <v>-866.37871512494121</v>
      </c>
      <c r="AP25" s="291">
        <f t="shared" si="38"/>
        <v>-1821.9638598779338</v>
      </c>
      <c r="AQ25" s="291">
        <f t="shared" si="39"/>
        <v>-1990.5957092459112</v>
      </c>
      <c r="AR25" s="291">
        <f t="shared" si="40"/>
        <v>-1415.2358432318679</v>
      </c>
      <c r="AS25" s="291">
        <f t="shared" si="41"/>
        <v>-1170.0133431020199</v>
      </c>
      <c r="AT25" s="291">
        <f t="shared" si="42"/>
        <v>-940.93824280833906</v>
      </c>
    </row>
    <row r="26" spans="1:46">
      <c r="A26" t="s">
        <v>60</v>
      </c>
      <c r="B26" s="63" t="s">
        <v>40</v>
      </c>
      <c r="C26" s="3"/>
      <c r="D26" s="67">
        <f>'4 RAB Overview'!N21</f>
        <v>4047.5400632001488</v>
      </c>
      <c r="E26" s="67">
        <f>'4 RAB Overview'!O21</f>
        <v>2343.5427960265174</v>
      </c>
      <c r="F26" s="67">
        <f>'4 RAB Overview'!P21</f>
        <v>2525.6014120104683</v>
      </c>
      <c r="G26" s="273">
        <f>'4 RAB Overview'!Q21</f>
        <v>2237.5351428008316</v>
      </c>
      <c r="H26" s="273">
        <f>'4 RAB Overview'!R21</f>
        <v>2018.3766753291225</v>
      </c>
      <c r="I26" s="70">
        <f>'4 RAB Overview'!S21</f>
        <v>2478.233910280509</v>
      </c>
      <c r="J26" s="68">
        <f>'4 RAB Overview'!T21</f>
        <v>3244.781842121693</v>
      </c>
      <c r="K26" s="68">
        <f>'4 RAB Overview'!U21</f>
        <v>4010.4300890884251</v>
      </c>
      <c r="L26" s="68">
        <f>'4 RAB Overview'!V21</f>
        <v>4510.4606155970359</v>
      </c>
      <c r="M26" s="68">
        <f>'4 RAB Overview'!W21</f>
        <v>4836.3903234406516</v>
      </c>
      <c r="O26" s="249">
        <f t="shared" si="26"/>
        <v>3959.2807733752029</v>
      </c>
      <c r="P26" s="249">
        <f t="shared" si="27"/>
        <v>2214.50071302284</v>
      </c>
      <c r="Q26" s="249">
        <f t="shared" si="28"/>
        <v>2308.8890992172924</v>
      </c>
      <c r="R26" s="249">
        <f>G26*(Inflation!$F$6/Inflation!$K$6)</f>
        <v>1985.2107425890792</v>
      </c>
      <c r="S26" s="249">
        <f>H26*(Inflation!$F$6/Inflation!$K$6)</f>
        <v>1790.7665367163656</v>
      </c>
      <c r="T26" s="290">
        <f>I26</f>
        <v>2478.233910280509</v>
      </c>
      <c r="U26" s="290">
        <f t="shared" si="29"/>
        <v>3244.781842121693</v>
      </c>
      <c r="V26" s="290">
        <f t="shared" si="30"/>
        <v>4010.4300890884251</v>
      </c>
      <c r="W26" s="290">
        <f t="shared" si="31"/>
        <v>4510.4606155970359</v>
      </c>
      <c r="X26" s="290">
        <f t="shared" si="32"/>
        <v>4836.3903234406516</v>
      </c>
      <c r="Z26" s="249">
        <f>RAB!I342</f>
        <v>3468.5063464692344</v>
      </c>
      <c r="AA26" s="249">
        <f>RAB!J342</f>
        <v>1804.9060534367586</v>
      </c>
      <c r="AB26" s="249">
        <f>RAB!K342</f>
        <v>1339.0239672722089</v>
      </c>
      <c r="AC26" s="249">
        <f>RAB!L342</f>
        <v>1651.9540606241169</v>
      </c>
      <c r="AD26" s="249">
        <f>RAB!M342</f>
        <v>1728.446526111718</v>
      </c>
      <c r="AE26" s="290">
        <f>'RAB summary'!I54</f>
        <v>1382.2451486636617</v>
      </c>
      <c r="AF26" s="290">
        <f>'RAB summary'!J54</f>
        <v>2116.2950382451695</v>
      </c>
      <c r="AG26" s="290">
        <f>'RAB summary'!K54</f>
        <v>2677.861967385586</v>
      </c>
      <c r="AH26" s="290">
        <f>'RAB summary'!L54</f>
        <v>2973.9666840589643</v>
      </c>
      <c r="AI26" s="290">
        <f>'RAB summary'!M54</f>
        <v>3143.5982653026072</v>
      </c>
      <c r="AK26" s="291">
        <f t="shared" si="33"/>
        <v>-490.77442690596854</v>
      </c>
      <c r="AL26" s="291">
        <f t="shared" si="34"/>
        <v>-409.59465958608143</v>
      </c>
      <c r="AM26" s="291">
        <f t="shared" si="35"/>
        <v>-969.86513194508348</v>
      </c>
      <c r="AN26" s="291">
        <f t="shared" si="36"/>
        <v>-333.25668196496235</v>
      </c>
      <c r="AO26" s="291">
        <f t="shared" si="37"/>
        <v>-62.320010604647678</v>
      </c>
      <c r="AP26" s="291">
        <f t="shared" si="38"/>
        <v>-1095.9887616168473</v>
      </c>
      <c r="AQ26" s="291">
        <f t="shared" si="39"/>
        <v>-1128.4868038765235</v>
      </c>
      <c r="AR26" s="291">
        <f t="shared" si="40"/>
        <v>-1332.5681217028391</v>
      </c>
      <c r="AS26" s="291">
        <f t="shared" si="41"/>
        <v>-1536.4939315380716</v>
      </c>
      <c r="AT26" s="291">
        <f t="shared" si="42"/>
        <v>-1692.7920581380445</v>
      </c>
    </row>
    <row r="27" spans="1:46">
      <c r="A27" t="s">
        <v>45</v>
      </c>
      <c r="B27" s="63" t="s">
        <v>40</v>
      </c>
      <c r="C27" s="3"/>
      <c r="D27" s="67">
        <f>'4 RAB Overview'!N22</f>
        <v>8318.2814068435891</v>
      </c>
      <c r="E27" s="67">
        <f>'4 RAB Overview'!O22</f>
        <v>6778.2509357764211</v>
      </c>
      <c r="F27" s="67">
        <f>'4 RAB Overview'!P22</f>
        <v>5524.3884169944122</v>
      </c>
      <c r="G27" s="273">
        <f>'4 RAB Overview'!Q22</f>
        <v>4111.9524941935806</v>
      </c>
      <c r="H27" s="274">
        <f>'4 RAB Overview'!R22</f>
        <v>4699.6262311844075</v>
      </c>
      <c r="I27" s="70">
        <f>'4 RAB Overview'!S22</f>
        <v>9016.755805600751</v>
      </c>
      <c r="J27" s="68">
        <f>'4 RAB Overview'!T22</f>
        <v>12667.643925283634</v>
      </c>
      <c r="K27" s="68">
        <f>'4 RAB Overview'!U22</f>
        <v>12740.576558824232</v>
      </c>
      <c r="L27" s="68">
        <f>'4 RAB Overview'!V22</f>
        <v>11801.7481648428</v>
      </c>
      <c r="M27" s="68">
        <f>'4 RAB Overview'!W22</f>
        <v>10138.280419183908</v>
      </c>
      <c r="O27" s="249">
        <f t="shared" si="26"/>
        <v>8136.8957755543443</v>
      </c>
      <c r="P27" s="249">
        <f t="shared" si="27"/>
        <v>6405.0213018404684</v>
      </c>
      <c r="Q27" s="249">
        <f t="shared" si="28"/>
        <v>5050.3615238665398</v>
      </c>
      <c r="R27" s="249">
        <f>G27*(Inflation!$F$6/Inflation!$K$6)</f>
        <v>3648.2520914826459</v>
      </c>
      <c r="S27" s="249">
        <f>H27*(Inflation!$F$6/Inflation!$K$6)</f>
        <v>4169.6545014359917</v>
      </c>
      <c r="T27" s="290">
        <f>I27</f>
        <v>9016.755805600751</v>
      </c>
      <c r="U27" s="290">
        <f t="shared" si="29"/>
        <v>12667.643925283634</v>
      </c>
      <c r="V27" s="290">
        <f t="shared" si="30"/>
        <v>12740.576558824232</v>
      </c>
      <c r="W27" s="290">
        <f t="shared" si="31"/>
        <v>11801.7481648428</v>
      </c>
      <c r="X27" s="290">
        <f t="shared" si="32"/>
        <v>10138.280419183908</v>
      </c>
      <c r="Z27" s="249">
        <f>RAB!I343</f>
        <v>4123.9282629995923</v>
      </c>
      <c r="AA27" s="249">
        <f>RAB!J343</f>
        <v>3330.6208052760635</v>
      </c>
      <c r="AB27" s="249">
        <f>RAB!K343</f>
        <v>2706.5626942784347</v>
      </c>
      <c r="AC27" s="249">
        <f>RAB!L343</f>
        <v>2199.5379535710426</v>
      </c>
      <c r="AD27" s="249">
        <f>RAB!M343</f>
        <v>1916.8816590040956</v>
      </c>
      <c r="AE27" s="290">
        <f>'RAB summary'!I55</f>
        <v>5690.3512496569911</v>
      </c>
      <c r="AF27" s="290">
        <f>'RAB summary'!J55</f>
        <v>8479.1304639704849</v>
      </c>
      <c r="AG27" s="290">
        <f>'RAB summary'!K55</f>
        <v>8469.3953759820542</v>
      </c>
      <c r="AH27" s="290">
        <f>'RAB summary'!L55</f>
        <v>7897.0475704366754</v>
      </c>
      <c r="AI27" s="290">
        <f>'RAB summary'!M55</f>
        <v>6985.4336401074888</v>
      </c>
      <c r="AK27" s="291">
        <f t="shared" si="33"/>
        <v>-4012.9675125547519</v>
      </c>
      <c r="AL27" s="291">
        <f t="shared" si="34"/>
        <v>-3074.4004965644049</v>
      </c>
      <c r="AM27" s="291">
        <f t="shared" si="35"/>
        <v>-2343.798829588105</v>
      </c>
      <c r="AN27" s="291">
        <f t="shared" si="36"/>
        <v>-1448.7141379116033</v>
      </c>
      <c r="AO27" s="291">
        <f t="shared" si="37"/>
        <v>-2252.7728424318962</v>
      </c>
      <c r="AP27" s="291">
        <f t="shared" si="38"/>
        <v>-3326.40455594376</v>
      </c>
      <c r="AQ27" s="291">
        <f t="shared" si="39"/>
        <v>-4188.5134613131486</v>
      </c>
      <c r="AR27" s="291">
        <f t="shared" si="40"/>
        <v>-4271.1811828421778</v>
      </c>
      <c r="AS27" s="291">
        <f t="shared" si="41"/>
        <v>-3904.7005944061248</v>
      </c>
      <c r="AT27" s="291">
        <f t="shared" si="42"/>
        <v>-3152.8467790764189</v>
      </c>
    </row>
    <row r="28" spans="1:46">
      <c r="A28" t="s">
        <v>46</v>
      </c>
      <c r="B28" s="63" t="s">
        <v>40</v>
      </c>
      <c r="C28" s="3"/>
      <c r="D28" s="67">
        <f>'4 RAB Overview'!N23</f>
        <v>8390.8217174337169</v>
      </c>
      <c r="E28" s="67">
        <f>'4 RAB Overview'!O23</f>
        <v>7548.2661713100051</v>
      </c>
      <c r="F28" s="67">
        <f>'4 RAB Overview'!P23</f>
        <v>6151.3196763854166</v>
      </c>
      <c r="G28" s="273">
        <f>'4 RAB Overview'!Q23</f>
        <v>4818.1704555939959</v>
      </c>
      <c r="H28" s="273">
        <f>'4 RAB Overview'!R23</f>
        <v>4405.7893626889945</v>
      </c>
      <c r="I28" s="70">
        <f>'4 RAB Overview'!S23</f>
        <v>6895.2467897734505</v>
      </c>
      <c r="J28" s="68">
        <f>'4 RAB Overview'!T23</f>
        <v>10842.199865442191</v>
      </c>
      <c r="K28" s="68">
        <f>'4 RAB Overview'!U23</f>
        <v>12704.110242053932</v>
      </c>
      <c r="L28" s="68">
        <f>'4 RAB Overview'!V23</f>
        <v>12271.162361833516</v>
      </c>
      <c r="M28" s="68">
        <f>'4 RAB Overview'!W23</f>
        <v>10970.014292013355</v>
      </c>
      <c r="O28" s="249">
        <f t="shared" si="26"/>
        <v>8207.8542966633559</v>
      </c>
      <c r="P28" s="249">
        <f t="shared" si="27"/>
        <v>7132.6373244788183</v>
      </c>
      <c r="Q28" s="249">
        <f t="shared" si="28"/>
        <v>5623.4981810931386</v>
      </c>
      <c r="R28" s="249">
        <f>G28*(Inflation!$F$6/Inflation!$K$6)</f>
        <v>4274.8306228153524</v>
      </c>
      <c r="S28" s="249">
        <f>H28*(Inflation!$F$6/Inflation!$K$6)</f>
        <v>3908.9532964593195</v>
      </c>
      <c r="T28" s="290">
        <f>I28</f>
        <v>6895.2467897734505</v>
      </c>
      <c r="U28" s="290">
        <f t="shared" si="29"/>
        <v>10842.199865442191</v>
      </c>
      <c r="V28" s="290">
        <f t="shared" si="30"/>
        <v>12704.110242053932</v>
      </c>
      <c r="W28" s="290">
        <f t="shared" si="31"/>
        <v>12271.162361833516</v>
      </c>
      <c r="X28" s="290">
        <f t="shared" si="32"/>
        <v>10970.014292013355</v>
      </c>
      <c r="Z28" s="249">
        <f>RAB!I344</f>
        <v>5277.4035096848602</v>
      </c>
      <c r="AA28" s="249">
        <f>RAB!J344</f>
        <v>3727.2745341378277</v>
      </c>
      <c r="AB28" s="249">
        <f>RAB!K344</f>
        <v>3018.5917497772489</v>
      </c>
      <c r="AC28" s="249">
        <f>RAB!L344</f>
        <v>2453.0503239247387</v>
      </c>
      <c r="AD28" s="249">
        <f>RAB!M344</f>
        <v>2058.2098062875693</v>
      </c>
      <c r="AE28" s="290">
        <f>'RAB summary'!I56</f>
        <v>3931.8297829602338</v>
      </c>
      <c r="AF28" s="290">
        <f>'RAB summary'!J56</f>
        <v>7084.7408568137371</v>
      </c>
      <c r="AG28" s="290">
        <f>'RAB summary'!K56</f>
        <v>8474.2629199762705</v>
      </c>
      <c r="AH28" s="290">
        <f>'RAB summary'!L56</f>
        <v>8183.2214732093671</v>
      </c>
      <c r="AI28" s="290">
        <f>'RAB summary'!M56</f>
        <v>7441.2406052720826</v>
      </c>
      <c r="AK28" s="291">
        <f t="shared" si="33"/>
        <v>-2930.4507869784957</v>
      </c>
      <c r="AL28" s="291">
        <f t="shared" si="34"/>
        <v>-3405.3627903409906</v>
      </c>
      <c r="AM28" s="291">
        <f t="shared" si="35"/>
        <v>-2604.9064313158897</v>
      </c>
      <c r="AN28" s="291">
        <f t="shared" si="36"/>
        <v>-1821.7802988906137</v>
      </c>
      <c r="AO28" s="291">
        <f t="shared" si="37"/>
        <v>-1850.7434901717502</v>
      </c>
      <c r="AP28" s="291">
        <f t="shared" si="38"/>
        <v>-2963.4170068132166</v>
      </c>
      <c r="AQ28" s="291">
        <f t="shared" si="39"/>
        <v>-3757.4590086284543</v>
      </c>
      <c r="AR28" s="291">
        <f t="shared" si="40"/>
        <v>-4229.8473220776614</v>
      </c>
      <c r="AS28" s="291">
        <f t="shared" si="41"/>
        <v>-4087.940888624149</v>
      </c>
      <c r="AT28" s="291">
        <f t="shared" si="42"/>
        <v>-3528.7736867412723</v>
      </c>
    </row>
    <row r="29" spans="1:46">
      <c r="B29" s="63"/>
      <c r="C29" s="239"/>
      <c r="D29" s="249"/>
      <c r="E29" s="249"/>
      <c r="F29" s="249"/>
      <c r="G29" s="249"/>
      <c r="H29" s="249"/>
      <c r="I29" s="262"/>
      <c r="J29" s="249"/>
      <c r="K29" s="249"/>
      <c r="L29" s="249"/>
      <c r="M29" s="249"/>
      <c r="O29" s="249"/>
      <c r="P29" s="249"/>
      <c r="Q29" s="249"/>
      <c r="R29" s="249"/>
      <c r="S29" s="249"/>
      <c r="T29" s="262"/>
      <c r="U29" s="249"/>
      <c r="V29" s="249"/>
      <c r="W29" s="249"/>
      <c r="X29" s="249"/>
      <c r="Z29" s="249"/>
      <c r="AA29" s="249"/>
      <c r="AB29" s="249"/>
      <c r="AC29" s="249"/>
      <c r="AD29" s="249"/>
      <c r="AE29" s="262"/>
      <c r="AF29" s="249"/>
      <c r="AG29" s="249"/>
      <c r="AH29" s="249"/>
      <c r="AI29" s="249"/>
      <c r="AK29" s="249">
        <f>AK24+AK25-AK26-AK27</f>
        <v>6.3664629124104977E-12</v>
      </c>
      <c r="AL29" s="249">
        <f t="shared" ref="AL29:AT29" si="43">AL24+AL25-AL26-AL27</f>
        <v>0</v>
      </c>
      <c r="AM29" s="249">
        <f t="shared" si="43"/>
        <v>0</v>
      </c>
      <c r="AN29" s="249">
        <f t="shared" si="43"/>
        <v>0</v>
      </c>
      <c r="AO29" s="249">
        <f t="shared" si="43"/>
        <v>0</v>
      </c>
      <c r="AP29" s="249">
        <f t="shared" si="43"/>
        <v>0</v>
      </c>
      <c r="AQ29" s="249">
        <f t="shared" si="43"/>
        <v>0</v>
      </c>
      <c r="AR29" s="249">
        <f t="shared" si="43"/>
        <v>0</v>
      </c>
      <c r="AS29" s="249">
        <f t="shared" si="43"/>
        <v>0</v>
      </c>
      <c r="AT29" s="249">
        <f t="shared" si="43"/>
        <v>0</v>
      </c>
    </row>
    <row r="30" spans="1:46">
      <c r="C30" s="258" t="s">
        <v>11</v>
      </c>
      <c r="D30" s="423" t="s">
        <v>56</v>
      </c>
      <c r="E30" s="423"/>
      <c r="F30" s="423"/>
      <c r="G30" s="425" t="s">
        <v>403</v>
      </c>
      <c r="H30" s="425"/>
      <c r="I30" s="424" t="s">
        <v>64</v>
      </c>
      <c r="J30" s="424"/>
      <c r="K30" s="424"/>
      <c r="L30" s="424"/>
      <c r="M30" s="424"/>
      <c r="O30" s="426" t="s">
        <v>217</v>
      </c>
      <c r="P30" s="426"/>
      <c r="Q30" s="426"/>
      <c r="R30" s="426"/>
      <c r="S30" s="426"/>
      <c r="T30" s="426" t="s">
        <v>64</v>
      </c>
      <c r="U30" s="426"/>
      <c r="V30" s="426"/>
      <c r="W30" s="426"/>
      <c r="X30" s="426"/>
      <c r="Z30" s="426" t="s">
        <v>217</v>
      </c>
      <c r="AA30" s="426"/>
      <c r="AB30" s="426"/>
      <c r="AC30" s="426"/>
      <c r="AD30" s="426"/>
      <c r="AE30" s="426" t="s">
        <v>64</v>
      </c>
      <c r="AF30" s="426"/>
      <c r="AG30" s="426"/>
      <c r="AH30" s="426"/>
      <c r="AI30" s="426"/>
      <c r="AK30" s="426" t="s">
        <v>217</v>
      </c>
      <c r="AL30" s="426"/>
      <c r="AM30" s="426"/>
      <c r="AN30" s="426"/>
      <c r="AO30" s="426"/>
      <c r="AP30" s="426" t="s">
        <v>64</v>
      </c>
      <c r="AQ30" s="426"/>
      <c r="AR30" s="426"/>
      <c r="AS30" s="426"/>
      <c r="AT30" s="426"/>
    </row>
    <row r="31" spans="1:46">
      <c r="A31" s="1" t="s">
        <v>48</v>
      </c>
      <c r="B31" s="1" t="s">
        <v>10</v>
      </c>
      <c r="C31" s="1"/>
      <c r="D31" s="264" t="s">
        <v>0</v>
      </c>
      <c r="E31" s="264" t="s">
        <v>1</v>
      </c>
      <c r="F31" s="264" t="s">
        <v>2</v>
      </c>
      <c r="G31" s="272" t="s">
        <v>3</v>
      </c>
      <c r="H31" s="272" t="s">
        <v>4</v>
      </c>
      <c r="I31" s="265" t="s">
        <v>5</v>
      </c>
      <c r="J31" s="265" t="s">
        <v>6</v>
      </c>
      <c r="K31" s="265" t="s">
        <v>7</v>
      </c>
      <c r="L31" s="265" t="s">
        <v>8</v>
      </c>
      <c r="M31" s="265" t="s">
        <v>9</v>
      </c>
      <c r="O31" s="289" t="s">
        <v>0</v>
      </c>
      <c r="P31" s="289" t="s">
        <v>1</v>
      </c>
      <c r="Q31" s="289" t="s">
        <v>2</v>
      </c>
      <c r="R31" s="289" t="s">
        <v>3</v>
      </c>
      <c r="S31" s="289" t="s">
        <v>4</v>
      </c>
      <c r="T31" s="289" t="s">
        <v>5</v>
      </c>
      <c r="U31" s="289" t="s">
        <v>6</v>
      </c>
      <c r="V31" s="289" t="s">
        <v>7</v>
      </c>
      <c r="W31" s="289" t="s">
        <v>8</v>
      </c>
      <c r="X31" s="289" t="s">
        <v>9</v>
      </c>
      <c r="Z31" s="289" t="s">
        <v>0</v>
      </c>
      <c r="AA31" s="289" t="s">
        <v>1</v>
      </c>
      <c r="AB31" s="289" t="s">
        <v>2</v>
      </c>
      <c r="AC31" s="289" t="s">
        <v>3</v>
      </c>
      <c r="AD31" s="289" t="s">
        <v>4</v>
      </c>
      <c r="AE31" s="289" t="s">
        <v>5</v>
      </c>
      <c r="AF31" s="289" t="s">
        <v>6</v>
      </c>
      <c r="AG31" s="289" t="s">
        <v>7</v>
      </c>
      <c r="AH31" s="289" t="s">
        <v>8</v>
      </c>
      <c r="AI31" s="289" t="s">
        <v>9</v>
      </c>
      <c r="AK31" s="289" t="s">
        <v>0</v>
      </c>
      <c r="AL31" s="289" t="s">
        <v>1</v>
      </c>
      <c r="AM31" s="289" t="s">
        <v>2</v>
      </c>
      <c r="AN31" s="289" t="s">
        <v>3</v>
      </c>
      <c r="AO31" s="289" t="s">
        <v>4</v>
      </c>
      <c r="AP31" s="289" t="s">
        <v>5</v>
      </c>
      <c r="AQ31" s="289" t="s">
        <v>6</v>
      </c>
      <c r="AR31" s="289" t="s">
        <v>7</v>
      </c>
      <c r="AS31" s="289" t="s">
        <v>8</v>
      </c>
      <c r="AT31" s="289" t="s">
        <v>9</v>
      </c>
    </row>
    <row r="32" spans="1:46">
      <c r="A32" t="s">
        <v>39</v>
      </c>
      <c r="B32" s="63" t="s">
        <v>40</v>
      </c>
      <c r="C32" s="3"/>
      <c r="D32" s="67">
        <f>'4 RAB Overview'!N25</f>
        <v>0</v>
      </c>
      <c r="E32" s="67">
        <f>'4 RAB Overview'!O25</f>
        <v>0</v>
      </c>
      <c r="F32" s="67">
        <f>'4 RAB Overview'!P25</f>
        <v>0</v>
      </c>
      <c r="G32" s="273">
        <f>'4 RAB Overview'!Q25</f>
        <v>0</v>
      </c>
      <c r="H32" s="273">
        <f>'4 RAB Overview'!R25</f>
        <v>0</v>
      </c>
      <c r="I32" s="69">
        <f>'4 RAB Overview'!S25</f>
        <v>20931.496079586988</v>
      </c>
      <c r="J32" s="68">
        <f>'4 RAB Overview'!T25</f>
        <v>15698.622059690242</v>
      </c>
      <c r="K32" s="68">
        <f>'4 RAB Overview'!U25</f>
        <v>10465.748039793496</v>
      </c>
      <c r="L32" s="68">
        <f>'4 RAB Overview'!V25</f>
        <v>5232.8740198967489</v>
      </c>
      <c r="M32" s="68">
        <f>'4 RAB Overview'!W25</f>
        <v>0</v>
      </c>
      <c r="O32" s="249">
        <f t="shared" ref="O32:O36" si="44">D32/F$8</f>
        <v>0</v>
      </c>
      <c r="P32" s="249">
        <f t="shared" ref="P32:P36" si="45">E32/G$8</f>
        <v>0</v>
      </c>
      <c r="Q32" s="249">
        <f t="shared" ref="Q32:Q36" si="46">F32/H$8</f>
        <v>0</v>
      </c>
      <c r="R32" s="249">
        <f>G32*(Inflation!$F$6/Inflation!$K$6)</f>
        <v>0</v>
      </c>
      <c r="S32" s="249">
        <f>H32*(Inflation!$F$6/Inflation!$K$6)</f>
        <v>0</v>
      </c>
      <c r="T32" s="290">
        <f>I32</f>
        <v>20931.496079586988</v>
      </c>
      <c r="U32" s="290">
        <f t="shared" ref="U32:U36" si="47">J32</f>
        <v>15698.622059690242</v>
      </c>
      <c r="V32" s="290">
        <f t="shared" ref="V32:V36" si="48">K32</f>
        <v>10465.748039793496</v>
      </c>
      <c r="W32" s="290">
        <f t="shared" ref="W32:W36" si="49">L32</f>
        <v>5232.8740198967489</v>
      </c>
      <c r="X32" s="290">
        <f t="shared" ref="X32:X36" si="50">M32</f>
        <v>0</v>
      </c>
      <c r="Z32" s="249">
        <f>RAB!I365</f>
        <v>0</v>
      </c>
      <c r="AA32" s="249">
        <f>RAB!J365</f>
        <v>0</v>
      </c>
      <c r="AB32" s="249">
        <f>RAB!K365</f>
        <v>0</v>
      </c>
      <c r="AC32" s="249">
        <f>RAB!L365</f>
        <v>0</v>
      </c>
      <c r="AD32" s="249">
        <f>RAB!M365</f>
        <v>0</v>
      </c>
      <c r="AE32" s="290">
        <f>'RAB summary'!I74</f>
        <v>20728.497433699737</v>
      </c>
      <c r="AF32" s="290">
        <f>'RAB summary'!J74</f>
        <v>15666.373075274802</v>
      </c>
      <c r="AG32" s="290">
        <f>'RAB summary'!K74</f>
        <v>10574.248716849866</v>
      </c>
      <c r="AH32" s="290">
        <f>'RAB summary'!L74</f>
        <v>5452.1243584249323</v>
      </c>
      <c r="AI32" s="290">
        <f>'RAB summary'!M74</f>
        <v>299.99999999999818</v>
      </c>
      <c r="AK32" s="291">
        <f t="shared" ref="AK32:AK36" si="51">Z32-O32</f>
        <v>0</v>
      </c>
      <c r="AL32" s="291">
        <f t="shared" ref="AL32:AL36" si="52">AA32-P32</f>
        <v>0</v>
      </c>
      <c r="AM32" s="291">
        <f t="shared" ref="AM32:AM36" si="53">AB32-Q32</f>
        <v>0</v>
      </c>
      <c r="AN32" s="291">
        <f t="shared" ref="AN32:AN36" si="54">AC32-R32</f>
        <v>0</v>
      </c>
      <c r="AO32" s="291">
        <f t="shared" ref="AO32:AO36" si="55">AD32-S32</f>
        <v>0</v>
      </c>
      <c r="AP32" s="291">
        <f t="shared" ref="AP32:AP36" si="56">AE32-T32</f>
        <v>-202.99864588725177</v>
      </c>
      <c r="AQ32" s="291">
        <f t="shared" ref="AQ32:AQ36" si="57">AF32-U32</f>
        <v>-32.248984415440646</v>
      </c>
      <c r="AR32" s="291">
        <f t="shared" ref="AR32:AR36" si="58">AG32-V32</f>
        <v>108.50067705637048</v>
      </c>
      <c r="AS32" s="291">
        <f t="shared" ref="AS32:AS36" si="59">AH32-W32</f>
        <v>219.25033852818342</v>
      </c>
      <c r="AT32" s="291">
        <f t="shared" ref="AT32:AT36" si="60">AI32-X32</f>
        <v>299.99999999999818</v>
      </c>
    </row>
    <row r="33" spans="1:46">
      <c r="A33" t="s">
        <v>59</v>
      </c>
      <c r="B33" s="63" t="s">
        <v>40</v>
      </c>
      <c r="C33" s="3"/>
      <c r="D33" s="67">
        <f>'4 RAB Overview'!N26</f>
        <v>0</v>
      </c>
      <c r="E33" s="67">
        <f>'4 RAB Overview'!O26</f>
        <v>0</v>
      </c>
      <c r="F33" s="67">
        <f>'4 RAB Overview'!P26</f>
        <v>0</v>
      </c>
      <c r="G33" s="273">
        <f>'4 RAB Overview'!Q26</f>
        <v>0</v>
      </c>
      <c r="H33" s="273">
        <f>'4 RAB Overview'!R26</f>
        <v>25758.172288610051</v>
      </c>
      <c r="I33" s="70">
        <f>'4 RAB Overview'!S26</f>
        <v>0</v>
      </c>
      <c r="J33" s="68">
        <f>'4 RAB Overview'!T26</f>
        <v>0</v>
      </c>
      <c r="K33" s="68">
        <f>'4 RAB Overview'!U26</f>
        <v>0</v>
      </c>
      <c r="L33" s="68">
        <f>'4 RAB Overview'!V26</f>
        <v>0</v>
      </c>
      <c r="M33" s="68">
        <f>'4 RAB Overview'!W26</f>
        <v>0</v>
      </c>
      <c r="O33" s="249">
        <f t="shared" si="44"/>
        <v>0</v>
      </c>
      <c r="P33" s="249">
        <f t="shared" si="45"/>
        <v>0</v>
      </c>
      <c r="Q33" s="249">
        <f t="shared" si="46"/>
        <v>0</v>
      </c>
      <c r="R33" s="249">
        <f>G33*(Inflation!$F$6/Inflation!$K$6)</f>
        <v>0</v>
      </c>
      <c r="S33" s="249">
        <f>H33*(Inflation!$F$6/Inflation!$K$6)</f>
        <v>22853.451263697396</v>
      </c>
      <c r="T33" s="290">
        <f>I33</f>
        <v>0</v>
      </c>
      <c r="U33" s="290">
        <f t="shared" si="47"/>
        <v>0</v>
      </c>
      <c r="V33" s="290">
        <f t="shared" si="48"/>
        <v>0</v>
      </c>
      <c r="W33" s="290">
        <f t="shared" si="49"/>
        <v>0</v>
      </c>
      <c r="X33" s="290">
        <f t="shared" si="50"/>
        <v>0</v>
      </c>
      <c r="Z33" s="249">
        <f>RAB!I366</f>
        <v>0</v>
      </c>
      <c r="AA33" s="249">
        <f>RAB!J366</f>
        <v>0</v>
      </c>
      <c r="AB33" s="249">
        <f>RAB!K366</f>
        <v>0</v>
      </c>
      <c r="AC33" s="249">
        <f>RAB!L366</f>
        <v>0</v>
      </c>
      <c r="AD33" s="249">
        <f>RAB!M366</f>
        <v>22853.451263697396</v>
      </c>
      <c r="AE33" s="290">
        <f>'RAB summary'!I75</f>
        <v>150</v>
      </c>
      <c r="AF33" s="290">
        <f>'RAB summary'!J75</f>
        <v>149.99999999999997</v>
      </c>
      <c r="AG33" s="290">
        <f>'RAB summary'!K75</f>
        <v>150.00000000000003</v>
      </c>
      <c r="AH33" s="290">
        <f>'RAB summary'!L75</f>
        <v>150.00000000000003</v>
      </c>
      <c r="AI33" s="290">
        <f>'RAB summary'!M75</f>
        <v>150</v>
      </c>
      <c r="AK33" s="291">
        <f t="shared" si="51"/>
        <v>0</v>
      </c>
      <c r="AL33" s="291">
        <f t="shared" si="52"/>
        <v>0</v>
      </c>
      <c r="AM33" s="291">
        <f t="shared" si="53"/>
        <v>0</v>
      </c>
      <c r="AN33" s="291">
        <f t="shared" si="54"/>
        <v>0</v>
      </c>
      <c r="AO33" s="291">
        <f t="shared" si="55"/>
        <v>0</v>
      </c>
      <c r="AP33" s="291">
        <f t="shared" si="56"/>
        <v>150</v>
      </c>
      <c r="AQ33" s="291">
        <f t="shared" si="57"/>
        <v>149.99999999999997</v>
      </c>
      <c r="AR33" s="291">
        <f t="shared" si="58"/>
        <v>150.00000000000003</v>
      </c>
      <c r="AS33" s="291">
        <f t="shared" si="59"/>
        <v>150.00000000000003</v>
      </c>
      <c r="AT33" s="291">
        <f t="shared" si="60"/>
        <v>150</v>
      </c>
    </row>
    <row r="34" spans="1:46">
      <c r="A34" t="s">
        <v>60</v>
      </c>
      <c r="B34" s="63" t="s">
        <v>40</v>
      </c>
      <c r="C34" s="3"/>
      <c r="D34" s="67">
        <f>'4 RAB Overview'!N29</f>
        <v>0</v>
      </c>
      <c r="E34" s="67">
        <f>'4 RAB Overview'!O29</f>
        <v>0</v>
      </c>
      <c r="F34" s="67">
        <f>'4 RAB Overview'!P29</f>
        <v>0</v>
      </c>
      <c r="G34" s="273">
        <f>'4 RAB Overview'!Q29</f>
        <v>0</v>
      </c>
      <c r="H34" s="275">
        <f>'4 RAB Overview'!R29</f>
        <v>5151.6344577220098</v>
      </c>
      <c r="I34" s="70">
        <f>'4 RAB Overview'!S29</f>
        <v>5232.8740198967471</v>
      </c>
      <c r="J34" s="70">
        <f>'4 RAB Overview'!T29</f>
        <v>5232.8740198967471</v>
      </c>
      <c r="K34" s="70">
        <f>'4 RAB Overview'!U29</f>
        <v>5232.8740198967471</v>
      </c>
      <c r="L34" s="70">
        <f>'4 RAB Overview'!V29</f>
        <v>5232.8740198967471</v>
      </c>
      <c r="M34" s="70">
        <f>'4 RAB Overview'!W29</f>
        <v>0</v>
      </c>
      <c r="O34" s="249">
        <f t="shared" si="44"/>
        <v>0</v>
      </c>
      <c r="P34" s="249">
        <f t="shared" si="45"/>
        <v>0</v>
      </c>
      <c r="Q34" s="249">
        <f t="shared" si="46"/>
        <v>0</v>
      </c>
      <c r="R34" s="249">
        <f>G34*(Inflation!$F$6/Inflation!$K$6)</f>
        <v>0</v>
      </c>
      <c r="S34" s="249">
        <f>H34*(Inflation!$F$6/Inflation!$K$6)</f>
        <v>4570.6902527394786</v>
      </c>
      <c r="T34" s="290">
        <f>I34</f>
        <v>5232.8740198967471</v>
      </c>
      <c r="U34" s="290">
        <f t="shared" si="47"/>
        <v>5232.8740198967471</v>
      </c>
      <c r="V34" s="290">
        <f t="shared" si="48"/>
        <v>5232.8740198967471</v>
      </c>
      <c r="W34" s="290">
        <f t="shared" si="49"/>
        <v>5232.8740198967471</v>
      </c>
      <c r="X34" s="290">
        <f t="shared" si="50"/>
        <v>0</v>
      </c>
      <c r="Z34" s="249">
        <f>RAB!I367</f>
        <v>0</v>
      </c>
      <c r="AA34" s="249">
        <f>RAB!J367</f>
        <v>0</v>
      </c>
      <c r="AB34" s="249">
        <f>RAB!K367</f>
        <v>0</v>
      </c>
      <c r="AC34" s="249">
        <f>RAB!L367</f>
        <v>0</v>
      </c>
      <c r="AD34" s="249">
        <f>RAB!M367</f>
        <v>4570.6902527394795</v>
      </c>
      <c r="AE34" s="290">
        <f>'RAB summary'!I76</f>
        <v>5212.1243584249341</v>
      </c>
      <c r="AF34" s="290">
        <f>'RAB summary'!J76</f>
        <v>5242.1243584249341</v>
      </c>
      <c r="AG34" s="290">
        <f>'RAB summary'!K76</f>
        <v>5272.1243584249341</v>
      </c>
      <c r="AH34" s="290">
        <f>'RAB summary'!L76</f>
        <v>5302.1243584249351</v>
      </c>
      <c r="AI34" s="290">
        <f>'RAB summary'!M76</f>
        <v>150</v>
      </c>
      <c r="AK34" s="291">
        <f t="shared" si="51"/>
        <v>0</v>
      </c>
      <c r="AL34" s="291">
        <f t="shared" si="52"/>
        <v>0</v>
      </c>
      <c r="AM34" s="291">
        <f t="shared" si="53"/>
        <v>0</v>
      </c>
      <c r="AN34" s="291">
        <f t="shared" si="54"/>
        <v>0</v>
      </c>
      <c r="AO34" s="291">
        <f t="shared" si="55"/>
        <v>0</v>
      </c>
      <c r="AP34" s="291">
        <f t="shared" si="56"/>
        <v>-20.749661471812942</v>
      </c>
      <c r="AQ34" s="291">
        <f t="shared" si="57"/>
        <v>9.2503385281870578</v>
      </c>
      <c r="AR34" s="291">
        <f t="shared" si="58"/>
        <v>39.250338528187058</v>
      </c>
      <c r="AS34" s="291">
        <f t="shared" si="59"/>
        <v>69.250338528187967</v>
      </c>
      <c r="AT34" s="291">
        <f t="shared" si="60"/>
        <v>150</v>
      </c>
    </row>
    <row r="35" spans="1:46">
      <c r="A35" t="s">
        <v>45</v>
      </c>
      <c r="B35" s="63" t="s">
        <v>40</v>
      </c>
      <c r="C35" s="3"/>
      <c r="D35" s="67">
        <f>'4 RAB Overview'!N30</f>
        <v>0</v>
      </c>
      <c r="E35" s="67">
        <f>'4 RAB Overview'!O30</f>
        <v>0</v>
      </c>
      <c r="F35" s="67">
        <f>'4 RAB Overview'!P30</f>
        <v>0</v>
      </c>
      <c r="G35" s="273">
        <f>'4 RAB Overview'!Q30</f>
        <v>0</v>
      </c>
      <c r="H35" s="275">
        <f>'4 RAB Overview'!R30</f>
        <v>20606.537830888039</v>
      </c>
      <c r="I35" s="70">
        <f>'4 RAB Overview'!S30</f>
        <v>15698.622059690242</v>
      </c>
      <c r="J35" s="70">
        <f>'4 RAB Overview'!T30</f>
        <v>10465.748039793496</v>
      </c>
      <c r="K35" s="70">
        <f>'4 RAB Overview'!U30</f>
        <v>5232.8740198967489</v>
      </c>
      <c r="L35" s="70">
        <f>'4 RAB Overview'!V30</f>
        <v>0</v>
      </c>
      <c r="M35" s="70">
        <f>'4 RAB Overview'!W30</f>
        <v>0</v>
      </c>
      <c r="O35" s="249">
        <f t="shared" si="44"/>
        <v>0</v>
      </c>
      <c r="P35" s="249">
        <f t="shared" si="45"/>
        <v>0</v>
      </c>
      <c r="Q35" s="249">
        <f t="shared" si="46"/>
        <v>0</v>
      </c>
      <c r="R35" s="249">
        <f>G35*(Inflation!$F$6/Inflation!$K$6)</f>
        <v>0</v>
      </c>
      <c r="S35" s="249">
        <f>H35*(Inflation!$F$6/Inflation!$K$6)</f>
        <v>18282.761010957915</v>
      </c>
      <c r="T35" s="290">
        <f>I35</f>
        <v>15698.622059690242</v>
      </c>
      <c r="U35" s="290">
        <f t="shared" si="47"/>
        <v>10465.748039793496</v>
      </c>
      <c r="V35" s="290">
        <f t="shared" si="48"/>
        <v>5232.8740198967489</v>
      </c>
      <c r="W35" s="290">
        <f t="shared" si="49"/>
        <v>0</v>
      </c>
      <c r="X35" s="290">
        <f t="shared" si="50"/>
        <v>0</v>
      </c>
      <c r="Z35" s="249">
        <f>RAB!I368</f>
        <v>0</v>
      </c>
      <c r="AA35" s="249">
        <f>RAB!J368</f>
        <v>0</v>
      </c>
      <c r="AB35" s="249">
        <f>RAB!K368</f>
        <v>0</v>
      </c>
      <c r="AC35" s="249">
        <f>RAB!L368</f>
        <v>0</v>
      </c>
      <c r="AD35" s="249">
        <f>RAB!M368</f>
        <v>18282.761010957918</v>
      </c>
      <c r="AE35" s="290">
        <f>'RAB summary'!I77</f>
        <v>15666.373075274802</v>
      </c>
      <c r="AF35" s="290">
        <f>'RAB summary'!J77</f>
        <v>10574.248716849866</v>
      </c>
      <c r="AG35" s="290">
        <f>'RAB summary'!K77</f>
        <v>5452.1243584249332</v>
      </c>
      <c r="AH35" s="290">
        <f>'RAB summary'!L77</f>
        <v>299.99999999999824</v>
      </c>
      <c r="AI35" s="290">
        <f>'RAB summary'!M77</f>
        <v>299.99999999999818</v>
      </c>
      <c r="AK35" s="291">
        <f t="shared" si="51"/>
        <v>0</v>
      </c>
      <c r="AL35" s="291">
        <f t="shared" si="52"/>
        <v>0</v>
      </c>
      <c r="AM35" s="291">
        <f t="shared" si="53"/>
        <v>0</v>
      </c>
      <c r="AN35" s="291">
        <f t="shared" si="54"/>
        <v>0</v>
      </c>
      <c r="AO35" s="291">
        <f t="shared" si="55"/>
        <v>0</v>
      </c>
      <c r="AP35" s="291">
        <f t="shared" si="56"/>
        <v>-32.248984415440646</v>
      </c>
      <c r="AQ35" s="291">
        <f t="shared" si="57"/>
        <v>108.50067705637048</v>
      </c>
      <c r="AR35" s="291">
        <f t="shared" si="58"/>
        <v>219.25033852818433</v>
      </c>
      <c r="AS35" s="291">
        <f t="shared" si="59"/>
        <v>299.99999999999824</v>
      </c>
      <c r="AT35" s="291">
        <f t="shared" si="60"/>
        <v>299.99999999999818</v>
      </c>
    </row>
    <row r="36" spans="1:46">
      <c r="A36" t="s">
        <v>46</v>
      </c>
      <c r="B36" s="63" t="s">
        <v>40</v>
      </c>
      <c r="C36" s="3"/>
      <c r="D36" s="67">
        <f>'4 RAB Overview'!N31</f>
        <v>0</v>
      </c>
      <c r="E36" s="67">
        <f>'4 RAB Overview'!O31</f>
        <v>0</v>
      </c>
      <c r="F36" s="67">
        <f>'4 RAB Overview'!P31</f>
        <v>0</v>
      </c>
      <c r="G36" s="273">
        <f>'4 RAB Overview'!Q31</f>
        <v>0</v>
      </c>
      <c r="H36" s="273">
        <f>'4 RAB Overview'!R31</f>
        <v>10303.26891544402</v>
      </c>
      <c r="I36" s="68">
        <f>'4 RAB Overview'!S31</f>
        <v>18315.059069638613</v>
      </c>
      <c r="J36" s="68">
        <f>'4 RAB Overview'!T31</f>
        <v>13082.185049741869</v>
      </c>
      <c r="K36" s="68">
        <f>'4 RAB Overview'!U31</f>
        <v>7849.3110298451229</v>
      </c>
      <c r="L36" s="68">
        <f>'4 RAB Overview'!V31</f>
        <v>2616.4370099483745</v>
      </c>
      <c r="M36" s="68">
        <f>'4 RAB Overview'!W31</f>
        <v>0</v>
      </c>
      <c r="O36" s="249">
        <f t="shared" si="44"/>
        <v>0</v>
      </c>
      <c r="P36" s="249">
        <f t="shared" si="45"/>
        <v>0</v>
      </c>
      <c r="Q36" s="249">
        <f t="shared" si="46"/>
        <v>0</v>
      </c>
      <c r="R36" s="249">
        <f>G36*(Inflation!$F$6/Inflation!$K$6)</f>
        <v>0</v>
      </c>
      <c r="S36" s="249">
        <f>H36*(Inflation!$F$6/Inflation!$K$6)</f>
        <v>9141.3805054789573</v>
      </c>
      <c r="T36" s="290">
        <f>I36</f>
        <v>18315.059069638613</v>
      </c>
      <c r="U36" s="290">
        <f t="shared" si="47"/>
        <v>13082.185049741869</v>
      </c>
      <c r="V36" s="290">
        <f t="shared" si="48"/>
        <v>7849.3110298451229</v>
      </c>
      <c r="W36" s="290">
        <f t="shared" si="49"/>
        <v>2616.4370099483745</v>
      </c>
      <c r="X36" s="290">
        <f t="shared" si="50"/>
        <v>0</v>
      </c>
      <c r="Z36" s="249">
        <f>RAB!I369</f>
        <v>0</v>
      </c>
      <c r="AA36" s="249">
        <f>RAB!J369</f>
        <v>0</v>
      </c>
      <c r="AB36" s="249">
        <f>RAB!K369</f>
        <v>0</v>
      </c>
      <c r="AC36" s="249">
        <f>RAB!L369</f>
        <v>0</v>
      </c>
      <c r="AD36" s="249">
        <f>RAB!M369</f>
        <v>9141.3805054789591</v>
      </c>
      <c r="AE36" s="290">
        <f>'RAB summary'!I78</f>
        <v>18197.435254487267</v>
      </c>
      <c r="AF36" s="290">
        <f>'RAB summary'!J78</f>
        <v>13120.310896062334</v>
      </c>
      <c r="AG36" s="290">
        <f>'RAB summary'!K78</f>
        <v>8013.1865376373999</v>
      </c>
      <c r="AH36" s="290">
        <f>'RAB summary'!L78</f>
        <v>2876.0621792124653</v>
      </c>
      <c r="AI36" s="290">
        <f>'RAB summary'!M78</f>
        <v>299.99999999999818</v>
      </c>
      <c r="AK36" s="291">
        <f t="shared" si="51"/>
        <v>0</v>
      </c>
      <c r="AL36" s="291">
        <f t="shared" si="52"/>
        <v>0</v>
      </c>
      <c r="AM36" s="291">
        <f t="shared" si="53"/>
        <v>0</v>
      </c>
      <c r="AN36" s="291">
        <f t="shared" si="54"/>
        <v>0</v>
      </c>
      <c r="AO36" s="291">
        <f t="shared" si="55"/>
        <v>0</v>
      </c>
      <c r="AP36" s="291">
        <f t="shared" si="56"/>
        <v>-117.62381515134621</v>
      </c>
      <c r="AQ36" s="291">
        <f t="shared" si="57"/>
        <v>38.125846320464916</v>
      </c>
      <c r="AR36" s="291">
        <f t="shared" si="58"/>
        <v>163.87550779227695</v>
      </c>
      <c r="AS36" s="291">
        <f t="shared" si="59"/>
        <v>259.6251692640908</v>
      </c>
      <c r="AT36" s="291">
        <f t="shared" si="60"/>
        <v>299.99999999999818</v>
      </c>
    </row>
    <row r="37" spans="1:46">
      <c r="B37" s="63"/>
      <c r="C37" s="3"/>
      <c r="D37" s="249"/>
      <c r="E37" s="249"/>
      <c r="F37" s="249"/>
      <c r="G37" s="249"/>
      <c r="H37" s="249"/>
      <c r="I37" s="249"/>
      <c r="J37" s="249"/>
      <c r="K37" s="249"/>
      <c r="L37" s="249"/>
      <c r="M37" s="249"/>
      <c r="O37" s="249"/>
      <c r="P37" s="249"/>
      <c r="Q37" s="249"/>
      <c r="R37" s="249"/>
      <c r="S37" s="249"/>
      <c r="T37" s="249"/>
      <c r="U37" s="249"/>
      <c r="V37" s="249"/>
      <c r="W37" s="249"/>
      <c r="X37" s="249"/>
      <c r="Z37" s="249"/>
      <c r="AA37" s="249"/>
      <c r="AB37" s="249"/>
      <c r="AC37" s="249"/>
      <c r="AD37" s="249"/>
      <c r="AE37" s="249"/>
      <c r="AF37" s="249"/>
      <c r="AG37" s="249"/>
      <c r="AH37" s="249"/>
      <c r="AI37" s="249"/>
      <c r="AK37" s="249">
        <f>AK32+AK33-AK34-AK35</f>
        <v>0</v>
      </c>
      <c r="AL37" s="249">
        <f t="shared" ref="AL37:AT37" si="61">AL32+AL33-AL34-AL35</f>
        <v>0</v>
      </c>
      <c r="AM37" s="249">
        <f t="shared" si="61"/>
        <v>0</v>
      </c>
      <c r="AN37" s="249">
        <f t="shared" si="61"/>
        <v>0</v>
      </c>
      <c r="AO37" s="249">
        <f t="shared" si="61"/>
        <v>0</v>
      </c>
      <c r="AP37" s="249">
        <f t="shared" si="61"/>
        <v>1.8189894035458565E-12</v>
      </c>
      <c r="AQ37" s="249">
        <f t="shared" si="61"/>
        <v>1.7905676941154525E-12</v>
      </c>
      <c r="AR37" s="249">
        <f t="shared" si="61"/>
        <v>-9.0949470177292824E-13</v>
      </c>
      <c r="AS37" s="249">
        <f t="shared" si="61"/>
        <v>-2.7853275241795927E-12</v>
      </c>
      <c r="AT37" s="249">
        <f t="shared" si="61"/>
        <v>0</v>
      </c>
    </row>
    <row r="38" spans="1:46">
      <c r="C38" s="258" t="s">
        <v>11</v>
      </c>
      <c r="D38" s="423" t="s">
        <v>56</v>
      </c>
      <c r="E38" s="423"/>
      <c r="F38" s="423"/>
      <c r="G38" s="425" t="s">
        <v>403</v>
      </c>
      <c r="H38" s="425"/>
      <c r="I38" s="424" t="s">
        <v>64</v>
      </c>
      <c r="J38" s="424"/>
      <c r="K38" s="424"/>
      <c r="L38" s="424"/>
      <c r="M38" s="424"/>
      <c r="O38" s="426" t="s">
        <v>217</v>
      </c>
      <c r="P38" s="426"/>
      <c r="Q38" s="426"/>
      <c r="R38" s="426"/>
      <c r="S38" s="426"/>
      <c r="T38" s="426" t="s">
        <v>64</v>
      </c>
      <c r="U38" s="426"/>
      <c r="V38" s="426"/>
      <c r="W38" s="426"/>
      <c r="X38" s="426"/>
      <c r="Z38" s="426" t="s">
        <v>217</v>
      </c>
      <c r="AA38" s="426"/>
      <c r="AB38" s="426"/>
      <c r="AC38" s="426"/>
      <c r="AD38" s="426"/>
      <c r="AE38" s="426" t="s">
        <v>64</v>
      </c>
      <c r="AF38" s="426"/>
      <c r="AG38" s="426"/>
      <c r="AH38" s="426"/>
      <c r="AI38" s="426"/>
      <c r="AK38" s="426" t="s">
        <v>217</v>
      </c>
      <c r="AL38" s="426"/>
      <c r="AM38" s="426"/>
      <c r="AN38" s="426"/>
      <c r="AO38" s="426"/>
      <c r="AP38" s="426" t="s">
        <v>64</v>
      </c>
      <c r="AQ38" s="426"/>
      <c r="AR38" s="426"/>
      <c r="AS38" s="426"/>
      <c r="AT38" s="426"/>
    </row>
    <row r="39" spans="1:46">
      <c r="A39" s="1" t="s">
        <v>62</v>
      </c>
      <c r="B39" s="1" t="s">
        <v>10</v>
      </c>
      <c r="C39" s="1"/>
      <c r="D39" s="264" t="s">
        <v>0</v>
      </c>
      <c r="E39" s="264" t="s">
        <v>1</v>
      </c>
      <c r="F39" s="264" t="s">
        <v>2</v>
      </c>
      <c r="G39" s="272" t="s">
        <v>3</v>
      </c>
      <c r="H39" s="272" t="s">
        <v>4</v>
      </c>
      <c r="I39" s="265" t="s">
        <v>5</v>
      </c>
      <c r="J39" s="265" t="s">
        <v>6</v>
      </c>
      <c r="K39" s="265" t="s">
        <v>7</v>
      </c>
      <c r="L39" s="265" t="s">
        <v>8</v>
      </c>
      <c r="M39" s="265" t="s">
        <v>9</v>
      </c>
      <c r="O39" s="289" t="s">
        <v>0</v>
      </c>
      <c r="P39" s="289" t="s">
        <v>1</v>
      </c>
      <c r="Q39" s="289" t="s">
        <v>2</v>
      </c>
      <c r="R39" s="289" t="s">
        <v>3</v>
      </c>
      <c r="S39" s="289" t="s">
        <v>4</v>
      </c>
      <c r="T39" s="289" t="s">
        <v>5</v>
      </c>
      <c r="U39" s="289" t="s">
        <v>6</v>
      </c>
      <c r="V39" s="289" t="s">
        <v>7</v>
      </c>
      <c r="W39" s="289" t="s">
        <v>8</v>
      </c>
      <c r="X39" s="289" t="s">
        <v>9</v>
      </c>
      <c r="Z39" s="289" t="s">
        <v>0</v>
      </c>
      <c r="AA39" s="289" t="s">
        <v>1</v>
      </c>
      <c r="AB39" s="289" t="s">
        <v>2</v>
      </c>
      <c r="AC39" s="289" t="s">
        <v>3</v>
      </c>
      <c r="AD39" s="289" t="s">
        <v>4</v>
      </c>
      <c r="AE39" s="289" t="s">
        <v>5</v>
      </c>
      <c r="AF39" s="289" t="s">
        <v>6</v>
      </c>
      <c r="AG39" s="289" t="s">
        <v>7</v>
      </c>
      <c r="AH39" s="289" t="s">
        <v>8</v>
      </c>
      <c r="AI39" s="289" t="s">
        <v>9</v>
      </c>
      <c r="AK39" s="289" t="s">
        <v>0</v>
      </c>
      <c r="AL39" s="289" t="s">
        <v>1</v>
      </c>
      <c r="AM39" s="289" t="s">
        <v>2</v>
      </c>
      <c r="AN39" s="289" t="s">
        <v>3</v>
      </c>
      <c r="AO39" s="289" t="s">
        <v>4</v>
      </c>
      <c r="AP39" s="289" t="s">
        <v>5</v>
      </c>
      <c r="AQ39" s="289" t="s">
        <v>6</v>
      </c>
      <c r="AR39" s="289" t="s">
        <v>7</v>
      </c>
      <c r="AS39" s="289" t="s">
        <v>8</v>
      </c>
      <c r="AT39" s="289" t="s">
        <v>9</v>
      </c>
    </row>
    <row r="40" spans="1:46">
      <c r="A40" t="s">
        <v>39</v>
      </c>
      <c r="B40" s="63" t="s">
        <v>40</v>
      </c>
      <c r="C40" s="3"/>
      <c r="D40" s="67">
        <f>'4 RAB Overview'!N41</f>
        <v>2408</v>
      </c>
      <c r="E40" s="67">
        <f>'4 RAB Overview'!O41</f>
        <v>4166.7631199650732</v>
      </c>
      <c r="F40" s="67">
        <f>'4 RAB Overview'!P41</f>
        <v>6817.2840750240912</v>
      </c>
      <c r="G40" s="273">
        <f>'4 RAB Overview'!Q41</f>
        <v>8641.7504318240899</v>
      </c>
      <c r="H40" s="273">
        <f>'4 RAB Overview'!R41</f>
        <v>10005.953973642272</v>
      </c>
      <c r="I40" s="69">
        <f>'4 RAB Overview'!S41</f>
        <v>12480.189982867885</v>
      </c>
      <c r="J40" s="68">
        <f>'4 RAB Overview'!T41</f>
        <v>16635.220752098652</v>
      </c>
      <c r="K40" s="68">
        <f>'4 RAB Overview'!U41</f>
        <v>19633.443829021729</v>
      </c>
      <c r="L40" s="68">
        <f>'4 RAB Overview'!V41</f>
        <v>21221.066905944808</v>
      </c>
      <c r="M40" s="68">
        <f>'4 RAB Overview'!W41</f>
        <v>15393.789982867886</v>
      </c>
      <c r="O40" s="249">
        <f t="shared" ref="O40:O46" si="62">D40/F$8</f>
        <v>2355.4919663351184</v>
      </c>
      <c r="P40" s="249">
        <f t="shared" ref="P40:P46" si="63">E40/G$8</f>
        <v>3937.3293783261979</v>
      </c>
      <c r="Q40" s="249">
        <f t="shared" ref="Q40:Q46" si="64">F40/H$8</f>
        <v>6232.3186913967111</v>
      </c>
      <c r="R40" s="249">
        <f>G40*(Inflation!$F$6/Inflation!$K$6)</f>
        <v>7667.2296509972921</v>
      </c>
      <c r="S40" s="249">
        <f>H40*(Inflation!$F$6/Inflation!$K$6)</f>
        <v>8877.5934457332714</v>
      </c>
      <c r="T40" s="290">
        <f t="shared" ref="T40:T46" si="65">I40</f>
        <v>12480.189982867885</v>
      </c>
      <c r="U40" s="290">
        <f t="shared" ref="U40:U44" si="66">J40</f>
        <v>16635.220752098652</v>
      </c>
      <c r="V40" s="290">
        <f t="shared" ref="V40:V44" si="67">K40</f>
        <v>19633.443829021729</v>
      </c>
      <c r="W40" s="290">
        <f t="shared" ref="W40:W44" si="68">L40</f>
        <v>21221.066905944808</v>
      </c>
      <c r="X40" s="290">
        <f t="shared" ref="X40:X44" si="69">M40</f>
        <v>15393.789982867886</v>
      </c>
      <c r="Z40" s="249">
        <f>RAB!I356</f>
        <v>1517</v>
      </c>
      <c r="AA40" s="249">
        <f>RAB!J356</f>
        <v>3237.4121261479313</v>
      </c>
      <c r="AB40" s="249">
        <f>RAB!K356</f>
        <v>5741.9879140584671</v>
      </c>
      <c r="AC40" s="249">
        <f>RAB!L356</f>
        <v>7409.9037075291853</v>
      </c>
      <c r="AD40" s="249">
        <f>RAB!M356</f>
        <v>8620.2675022651638</v>
      </c>
      <c r="AE40" s="290">
        <f>'RAB summary'!I66</f>
        <v>12132.416277047852</v>
      </c>
      <c r="AF40" s="290">
        <f>'RAB summary'!J66</f>
        <v>16287.447046278623</v>
      </c>
      <c r="AG40" s="290">
        <f>'RAB summary'!K66</f>
        <v>19285.6701232017</v>
      </c>
      <c r="AH40" s="290">
        <f>'RAB summary'!L66</f>
        <v>20873.293200124783</v>
      </c>
      <c r="AI40" s="290">
        <f>'RAB summary'!M66</f>
        <v>15046.016277047858</v>
      </c>
      <c r="AK40" s="291">
        <f t="shared" ref="AK40:AK46" si="70">Z40-O40</f>
        <v>-838.49196633511838</v>
      </c>
      <c r="AL40" s="291">
        <f t="shared" ref="AL40:AL46" si="71">AA40-P40</f>
        <v>-699.91725217826661</v>
      </c>
      <c r="AM40" s="291">
        <f t="shared" ref="AM40:AM46" si="72">AB40-Q40</f>
        <v>-490.33077733824393</v>
      </c>
      <c r="AN40" s="291">
        <f t="shared" ref="AN40:AN46" si="73">AC40-R40</f>
        <v>-257.32594346810674</v>
      </c>
      <c r="AO40" s="291">
        <f t="shared" ref="AO40:AO46" si="74">AD40-S40</f>
        <v>-257.32594346810765</v>
      </c>
      <c r="AP40" s="291">
        <f t="shared" ref="AP40:AP46" si="75">AE40-T40</f>
        <v>-347.77370582003277</v>
      </c>
      <c r="AQ40" s="291">
        <f t="shared" ref="AQ40:AQ46" si="76">AF40-U40</f>
        <v>-347.77370582002914</v>
      </c>
      <c r="AR40" s="291">
        <f t="shared" ref="AR40:AR46" si="77">AG40-V40</f>
        <v>-347.77370582002914</v>
      </c>
      <c r="AS40" s="291">
        <f t="shared" ref="AS40:AS46" si="78">AH40-W40</f>
        <v>-347.7737058200255</v>
      </c>
      <c r="AT40" s="291">
        <f t="shared" ref="AT40:AT46" si="79">AI40-X40</f>
        <v>-347.77370582002732</v>
      </c>
    </row>
    <row r="41" spans="1:46">
      <c r="A41" t="s">
        <v>59</v>
      </c>
      <c r="B41" s="63" t="s">
        <v>40</v>
      </c>
      <c r="C41" s="3"/>
      <c r="D41" s="67">
        <f>'4 RAB Overview'!N42</f>
        <v>1758.7631199650732</v>
      </c>
      <c r="E41" s="67">
        <f>'4 RAB Overview'!O42</f>
        <v>2650.520955059018</v>
      </c>
      <c r="F41" s="67">
        <f>'4 RAB Overview'!P42</f>
        <v>1824.4663567999996</v>
      </c>
      <c r="G41" s="273">
        <f>'4 RAB Overview'!Q42</f>
        <v>1364.203541818182</v>
      </c>
      <c r="H41" s="273">
        <f>'4 RAB Overview'!R42</f>
        <v>3478.3346234349551</v>
      </c>
      <c r="I41" s="70">
        <f>'4 RAB Overview'!S42</f>
        <v>5074.2615384615383</v>
      </c>
      <c r="J41" s="68">
        <f>'4 RAB Overview'!T42</f>
        <v>3991.1461538461544</v>
      </c>
      <c r="K41" s="68">
        <f>'4 RAB Overview'!U42</f>
        <v>3299.6846153846159</v>
      </c>
      <c r="L41" s="68">
        <f>'4 RAB Overview'!V42</f>
        <v>2784.1153846153852</v>
      </c>
      <c r="M41" s="68">
        <f>'4 RAB Overview'!W42</f>
        <v>2149.7307692307691</v>
      </c>
      <c r="O41" s="249">
        <f t="shared" si="62"/>
        <v>1720.4121261479311</v>
      </c>
      <c r="P41" s="249">
        <f t="shared" si="63"/>
        <v>2504.5757879105354</v>
      </c>
      <c r="Q41" s="249">
        <f t="shared" si="64"/>
        <v>1667.9157934707182</v>
      </c>
      <c r="R41" s="249">
        <f>G41*(Inflation!$F$6/Inflation!$K$6)</f>
        <v>1210.3637947359789</v>
      </c>
      <c r="S41" s="249">
        <f>H41*(Inflation!$F$6/Inflation!$K$6)</f>
        <v>3086.0866176693894</v>
      </c>
      <c r="T41" s="290">
        <f t="shared" si="65"/>
        <v>5074.2615384615383</v>
      </c>
      <c r="U41" s="290">
        <f t="shared" si="66"/>
        <v>3991.1461538461544</v>
      </c>
      <c r="V41" s="290">
        <f t="shared" si="67"/>
        <v>3299.6846153846159</v>
      </c>
      <c r="W41" s="290">
        <f t="shared" si="68"/>
        <v>2784.1153846153852</v>
      </c>
      <c r="X41" s="290">
        <f t="shared" si="69"/>
        <v>2149.7307692307691</v>
      </c>
      <c r="Z41" s="249">
        <f>RAB!I357</f>
        <v>1720.4121261479311</v>
      </c>
      <c r="AA41" s="249">
        <f>RAB!J357</f>
        <v>2504.5757879105354</v>
      </c>
      <c r="AB41" s="249">
        <f>RAB!K357</f>
        <v>1667.9157934707182</v>
      </c>
      <c r="AC41" s="249">
        <f>RAB!L357</f>
        <v>1210.3637947359789</v>
      </c>
      <c r="AD41" s="249">
        <f>RAB!M357</f>
        <v>3086.0866176693889</v>
      </c>
      <c r="AE41" s="290">
        <f>'RAB summary'!I67</f>
        <v>5074.2615384615383</v>
      </c>
      <c r="AF41" s="290">
        <f>'RAB summary'!J67</f>
        <v>3991.1461538461544</v>
      </c>
      <c r="AG41" s="290">
        <f>'RAB summary'!K67</f>
        <v>3299.6846153846159</v>
      </c>
      <c r="AH41" s="290">
        <f>'RAB summary'!L67</f>
        <v>2784.1153846153857</v>
      </c>
      <c r="AI41" s="290">
        <f>'RAB summary'!M67</f>
        <v>2149.7307692307691</v>
      </c>
      <c r="AK41" s="291">
        <f t="shared" si="70"/>
        <v>0</v>
      </c>
      <c r="AL41" s="291">
        <f t="shared" si="71"/>
        <v>0</v>
      </c>
      <c r="AM41" s="291">
        <f t="shared" si="72"/>
        <v>0</v>
      </c>
      <c r="AN41" s="291">
        <f t="shared" si="73"/>
        <v>0</v>
      </c>
      <c r="AO41" s="291">
        <f t="shared" si="74"/>
        <v>0</v>
      </c>
      <c r="AP41" s="291">
        <f t="shared" si="75"/>
        <v>0</v>
      </c>
      <c r="AQ41" s="291">
        <f t="shared" si="76"/>
        <v>0</v>
      </c>
      <c r="AR41" s="291">
        <f t="shared" si="77"/>
        <v>0</v>
      </c>
      <c r="AS41" s="291">
        <f t="shared" si="78"/>
        <v>0</v>
      </c>
      <c r="AT41" s="291">
        <f t="shared" si="79"/>
        <v>0</v>
      </c>
    </row>
    <row r="42" spans="1:46">
      <c r="A42" t="s">
        <v>63</v>
      </c>
      <c r="B42" s="63" t="s">
        <v>40</v>
      </c>
      <c r="C42" s="3"/>
      <c r="D42" s="67">
        <f>'4 RAB Overview'!N43</f>
        <v>0</v>
      </c>
      <c r="E42" s="67">
        <f>'4 RAB Overview'!O43</f>
        <v>0</v>
      </c>
      <c r="F42" s="67">
        <f>'4 RAB Overview'!P43</f>
        <v>0</v>
      </c>
      <c r="G42" s="273">
        <f>'4 RAB Overview'!Q43</f>
        <v>0</v>
      </c>
      <c r="H42" s="273">
        <f>'4 RAB Overview'!R43</f>
        <v>824.30899999999997</v>
      </c>
      <c r="I42" s="70">
        <f>'4 RAB Overview'!S43</f>
        <v>919.23076923076917</v>
      </c>
      <c r="J42" s="68">
        <f>'4 RAB Overview'!T43</f>
        <v>992.92307692307702</v>
      </c>
      <c r="K42" s="68">
        <f>'4 RAB Overview'!U43</f>
        <v>1712.0615384615387</v>
      </c>
      <c r="L42" s="68">
        <f>'4 RAB Overview'!V43</f>
        <v>8611.3923076923093</v>
      </c>
      <c r="M42" s="68">
        <f>'4 RAB Overview'!W43</f>
        <v>9013.3538461538483</v>
      </c>
      <c r="O42" s="249">
        <f t="shared" si="62"/>
        <v>0</v>
      </c>
      <c r="P42" s="249">
        <f t="shared" si="63"/>
        <v>0</v>
      </c>
      <c r="Q42" s="249">
        <f t="shared" si="64"/>
        <v>0</v>
      </c>
      <c r="R42" s="249">
        <f>G42*(Inflation!$F$6/Inflation!$K$6)</f>
        <v>0</v>
      </c>
      <c r="S42" s="249">
        <f>H42*(Inflation!$F$6/Inflation!$K$6)</f>
        <v>731.35257217210267</v>
      </c>
      <c r="T42" s="290">
        <f t="shared" si="65"/>
        <v>919.23076923076917</v>
      </c>
      <c r="U42" s="290">
        <f t="shared" si="66"/>
        <v>992.92307692307702</v>
      </c>
      <c r="V42" s="290">
        <f t="shared" si="67"/>
        <v>1712.0615384615387</v>
      </c>
      <c r="W42" s="290">
        <f t="shared" si="68"/>
        <v>8611.3923076923093</v>
      </c>
      <c r="X42" s="290">
        <f t="shared" si="69"/>
        <v>9013.3538461538483</v>
      </c>
      <c r="Z42" s="249">
        <f>RAB!I358</f>
        <v>0</v>
      </c>
      <c r="AA42" s="249">
        <f>RAB!J358</f>
        <v>0</v>
      </c>
      <c r="AB42" s="249">
        <f>RAB!K358</f>
        <v>0</v>
      </c>
      <c r="AC42" s="249">
        <f>RAB!L358</f>
        <v>0</v>
      </c>
      <c r="AD42" s="249">
        <f>RAB!M358</f>
        <v>724.25206176266488</v>
      </c>
      <c r="AE42" s="290">
        <f>'RAB summary'!I68</f>
        <v>919.23076923076917</v>
      </c>
      <c r="AF42" s="290">
        <f>'RAB summary'!J68</f>
        <v>992.92307692307691</v>
      </c>
      <c r="AG42" s="290">
        <f>'RAB summary'!K68</f>
        <v>1712.0615384615387</v>
      </c>
      <c r="AH42" s="290">
        <f>'RAB summary'!L68</f>
        <v>8611.3923076923093</v>
      </c>
      <c r="AI42" s="290">
        <f>'RAB summary'!M68</f>
        <v>9013.3538461538483</v>
      </c>
      <c r="AK42" s="291">
        <f t="shared" si="70"/>
        <v>0</v>
      </c>
      <c r="AL42" s="291">
        <f t="shared" si="71"/>
        <v>0</v>
      </c>
      <c r="AM42" s="291">
        <f t="shared" si="72"/>
        <v>0</v>
      </c>
      <c r="AN42" s="291">
        <f t="shared" si="73"/>
        <v>0</v>
      </c>
      <c r="AO42" s="291">
        <f t="shared" si="74"/>
        <v>-7.1005104094377884</v>
      </c>
      <c r="AP42" s="291">
        <f t="shared" si="75"/>
        <v>0</v>
      </c>
      <c r="AQ42" s="291">
        <f t="shared" si="76"/>
        <v>0</v>
      </c>
      <c r="AR42" s="291">
        <f t="shared" si="77"/>
        <v>0</v>
      </c>
      <c r="AS42" s="291">
        <f t="shared" si="78"/>
        <v>0</v>
      </c>
      <c r="AT42" s="291">
        <f t="shared" si="79"/>
        <v>0</v>
      </c>
    </row>
    <row r="43" spans="1:46" s="285" customFormat="1">
      <c r="A43" s="285" t="s">
        <v>437</v>
      </c>
      <c r="B43" s="286" t="s">
        <v>40</v>
      </c>
      <c r="C43" s="3"/>
      <c r="D43" s="67">
        <f>'4 RAB Overview'!N44</f>
        <v>0</v>
      </c>
      <c r="E43" s="67">
        <f>'4 RAB Overview'!O44</f>
        <v>0</v>
      </c>
      <c r="F43" s="67">
        <f>'4 RAB Overview'!P44</f>
        <v>0</v>
      </c>
      <c r="G43" s="273">
        <f>'4 RAB Overview'!Q44</f>
        <v>0</v>
      </c>
      <c r="H43" s="273">
        <f>'4 RAB Overview'!R44</f>
        <v>386.92464999999993</v>
      </c>
      <c r="I43" s="70">
        <f>'4 RAB Overview'!S44</f>
        <v>0</v>
      </c>
      <c r="J43" s="70">
        <f>'4 RAB Overview'!T44</f>
        <v>0</v>
      </c>
      <c r="K43" s="70">
        <f>'4 RAB Overview'!U44</f>
        <v>0</v>
      </c>
      <c r="L43" s="70">
        <f>'4 RAB Overview'!V44</f>
        <v>0</v>
      </c>
      <c r="M43" s="70">
        <f>'4 RAB Overview'!W44</f>
        <v>0</v>
      </c>
      <c r="O43" s="249">
        <f t="shared" ref="O43" si="80">D43/F$8</f>
        <v>0</v>
      </c>
      <c r="P43" s="249">
        <f t="shared" ref="P43" si="81">E43/G$8</f>
        <v>0</v>
      </c>
      <c r="Q43" s="249">
        <f t="shared" ref="Q43" si="82">F43/H$8</f>
        <v>0</v>
      </c>
      <c r="R43" s="249">
        <f>G43*(Inflation!$F$6/Inflation!$K$6)</f>
        <v>0</v>
      </c>
      <c r="S43" s="249">
        <f>H43*(Inflation!$F$6/Inflation!$K$6)</f>
        <v>343.29157878209566</v>
      </c>
      <c r="T43" s="290">
        <f t="shared" si="65"/>
        <v>0</v>
      </c>
      <c r="U43" s="290">
        <f t="shared" si="66"/>
        <v>0</v>
      </c>
      <c r="V43" s="290">
        <f t="shared" si="67"/>
        <v>0</v>
      </c>
      <c r="W43" s="290">
        <f t="shared" si="68"/>
        <v>0</v>
      </c>
      <c r="X43" s="290">
        <f t="shared" si="69"/>
        <v>0</v>
      </c>
      <c r="Z43" s="249">
        <f>RAB!I359</f>
        <v>0</v>
      </c>
      <c r="AA43" s="249">
        <f>RAB!J359</f>
        <v>0</v>
      </c>
      <c r="AB43" s="249">
        <f>RAB!K359</f>
        <v>0</v>
      </c>
      <c r="AC43" s="249">
        <f>RAB!L359</f>
        <v>0</v>
      </c>
      <c r="AD43" s="249">
        <f>RAB!M359</f>
        <v>281.1784630972445</v>
      </c>
      <c r="AE43" s="290">
        <f>'RAB summary'!I69</f>
        <v>0</v>
      </c>
      <c r="AF43" s="290">
        <f>'RAB summary'!J69</f>
        <v>0</v>
      </c>
      <c r="AG43" s="290">
        <f>'RAB summary'!K69</f>
        <v>0</v>
      </c>
      <c r="AH43" s="290">
        <f>'RAB summary'!L69</f>
        <v>0</v>
      </c>
      <c r="AI43" s="290">
        <f>'RAB summary'!M69</f>
        <v>0</v>
      </c>
      <c r="AK43" s="291">
        <f t="shared" si="70"/>
        <v>0</v>
      </c>
      <c r="AL43" s="291">
        <f t="shared" si="71"/>
        <v>0</v>
      </c>
      <c r="AM43" s="291">
        <f t="shared" si="72"/>
        <v>0</v>
      </c>
      <c r="AN43" s="291">
        <f t="shared" si="73"/>
        <v>0</v>
      </c>
      <c r="AO43" s="291">
        <f t="shared" si="74"/>
        <v>-62.113115684851152</v>
      </c>
      <c r="AP43" s="291">
        <f t="shared" si="75"/>
        <v>0</v>
      </c>
      <c r="AQ43" s="291">
        <f t="shared" si="76"/>
        <v>0</v>
      </c>
      <c r="AR43" s="291">
        <f t="shared" si="77"/>
        <v>0</v>
      </c>
      <c r="AS43" s="291">
        <f t="shared" si="78"/>
        <v>0</v>
      </c>
      <c r="AT43" s="291">
        <f t="shared" si="79"/>
        <v>0</v>
      </c>
    </row>
    <row r="44" spans="1:46">
      <c r="A44" t="s">
        <v>60</v>
      </c>
      <c r="B44" s="63" t="s">
        <v>40</v>
      </c>
      <c r="C44" s="3"/>
      <c r="D44" s="67">
        <f>'4 RAB Overview'!N45</f>
        <v>0</v>
      </c>
      <c r="E44" s="67">
        <f>'4 RAB Overview'!O45</f>
        <v>0</v>
      </c>
      <c r="F44" s="67">
        <f>'4 RAB Overview'!P45</f>
        <v>0</v>
      </c>
      <c r="G44" s="273">
        <f>'4 RAB Overview'!Q45</f>
        <v>0</v>
      </c>
      <c r="H44" s="273">
        <f>'4 RAB Overview'!R45</f>
        <v>0</v>
      </c>
      <c r="I44" s="70">
        <f>'4 RAB Overview'!S45</f>
        <v>0</v>
      </c>
      <c r="J44" s="68">
        <f>'4 RAB Overview'!T45</f>
        <v>0</v>
      </c>
      <c r="K44" s="68">
        <f>'4 RAB Overview'!U45</f>
        <v>0</v>
      </c>
      <c r="L44" s="68">
        <f>'4 RAB Overview'!V45</f>
        <v>0</v>
      </c>
      <c r="M44" s="68">
        <f>'4 RAB Overview'!W45</f>
        <v>0</v>
      </c>
      <c r="O44" s="249">
        <f t="shared" si="62"/>
        <v>0</v>
      </c>
      <c r="P44" s="249">
        <f t="shared" si="63"/>
        <v>0</v>
      </c>
      <c r="Q44" s="249">
        <f t="shared" si="64"/>
        <v>0</v>
      </c>
      <c r="R44" s="249">
        <f>G44*(Inflation!$F$6/Inflation!$K$6)</f>
        <v>0</v>
      </c>
      <c r="S44" s="249">
        <f>H44*(Inflation!$F$6/Inflation!$K$6)</f>
        <v>0</v>
      </c>
      <c r="T44" s="290">
        <f t="shared" si="65"/>
        <v>0</v>
      </c>
      <c r="U44" s="290">
        <f t="shared" si="66"/>
        <v>0</v>
      </c>
      <c r="V44" s="290">
        <f t="shared" si="67"/>
        <v>0</v>
      </c>
      <c r="W44" s="290">
        <f t="shared" si="68"/>
        <v>0</v>
      </c>
      <c r="X44" s="290">
        <f t="shared" si="69"/>
        <v>0</v>
      </c>
      <c r="Z44" s="249"/>
      <c r="AA44" s="249"/>
      <c r="AB44" s="249"/>
      <c r="AC44" s="249"/>
      <c r="AD44" s="249"/>
      <c r="AE44" s="290"/>
      <c r="AF44" s="290"/>
      <c r="AG44" s="290"/>
      <c r="AH44" s="290"/>
      <c r="AI44" s="290"/>
      <c r="AK44" s="291">
        <f t="shared" si="70"/>
        <v>0</v>
      </c>
      <c r="AL44" s="291">
        <f t="shared" si="71"/>
        <v>0</v>
      </c>
      <c r="AM44" s="291">
        <f t="shared" si="72"/>
        <v>0</v>
      </c>
      <c r="AN44" s="291">
        <f t="shared" si="73"/>
        <v>0</v>
      </c>
      <c r="AO44" s="291">
        <f t="shared" si="74"/>
        <v>0</v>
      </c>
      <c r="AP44" s="291">
        <f t="shared" si="75"/>
        <v>0</v>
      </c>
      <c r="AQ44" s="291">
        <f t="shared" si="76"/>
        <v>0</v>
      </c>
      <c r="AR44" s="291">
        <f t="shared" si="77"/>
        <v>0</v>
      </c>
      <c r="AS44" s="291">
        <f t="shared" si="78"/>
        <v>0</v>
      </c>
      <c r="AT44" s="291">
        <f t="shared" si="79"/>
        <v>0</v>
      </c>
    </row>
    <row r="45" spans="1:46">
      <c r="A45" t="s">
        <v>45</v>
      </c>
      <c r="B45" s="63" t="s">
        <v>40</v>
      </c>
      <c r="C45" s="3"/>
      <c r="D45" s="67">
        <f>'4 RAB Overview'!N46</f>
        <v>4166.7631199650732</v>
      </c>
      <c r="E45" s="67">
        <f>'4 RAB Overview'!O46</f>
        <v>6817.2840750240912</v>
      </c>
      <c r="F45" s="67">
        <f>'4 RAB Overview'!P46</f>
        <v>8641.7504318240899</v>
      </c>
      <c r="G45" s="273">
        <f>'4 RAB Overview'!Q46</f>
        <v>10005.953973642272</v>
      </c>
      <c r="H45" s="274">
        <f>'4 RAB Overview'!R46</f>
        <v>12273.054947077228</v>
      </c>
      <c r="I45" s="70">
        <f>'4 RAB Overview'!S46</f>
        <v>16635.220752098652</v>
      </c>
      <c r="J45" s="68">
        <f>'4 RAB Overview'!T46</f>
        <v>19633.443829021729</v>
      </c>
      <c r="K45" s="68">
        <f>'4 RAB Overview'!U46</f>
        <v>21221.066905944808</v>
      </c>
      <c r="L45" s="68">
        <f>'4 RAB Overview'!V46</f>
        <v>15393.789982867886</v>
      </c>
      <c r="M45" s="68">
        <f>'4 RAB Overview'!W46</f>
        <v>8530.1669059448068</v>
      </c>
      <c r="O45" s="249">
        <f t="shared" si="62"/>
        <v>4075.9040924830497</v>
      </c>
      <c r="P45" s="249">
        <f t="shared" si="63"/>
        <v>6441.9051662367337</v>
      </c>
      <c r="Q45" s="249">
        <f t="shared" si="64"/>
        <v>7900.2344848674284</v>
      </c>
      <c r="R45" s="249">
        <f>G45*(Inflation!$F$6/Inflation!$K$6)</f>
        <v>8877.5934457332714</v>
      </c>
      <c r="S45" s="249">
        <f>H45*(Inflation!$F$6/Inflation!$K$6)</f>
        <v>10889.035912448462</v>
      </c>
      <c r="T45" s="290">
        <f t="shared" si="65"/>
        <v>16635.220752098652</v>
      </c>
      <c r="U45" s="290">
        <f t="shared" ref="U45:U46" si="83">J45</f>
        <v>19633.443829021729</v>
      </c>
      <c r="V45" s="290">
        <f t="shared" ref="V45:V46" si="84">K45</f>
        <v>21221.066905944808</v>
      </c>
      <c r="W45" s="290">
        <f t="shared" ref="W45:W46" si="85">L45</f>
        <v>15393.789982867886</v>
      </c>
      <c r="X45" s="290">
        <f t="shared" ref="X45:X46" si="86">M45</f>
        <v>8530.1669059448068</v>
      </c>
      <c r="Z45" s="249">
        <f>RAB!I360</f>
        <v>3237.4121261479313</v>
      </c>
      <c r="AA45" s="249">
        <f>RAB!J360</f>
        <v>5741.9879140584671</v>
      </c>
      <c r="AB45" s="249">
        <f>RAB!K360</f>
        <v>7409.9037075291853</v>
      </c>
      <c r="AC45" s="249">
        <f>RAB!L360</f>
        <v>8620.2675022651638</v>
      </c>
      <c r="AD45" s="249">
        <f>RAB!M360</f>
        <v>10700.923595074642</v>
      </c>
      <c r="AE45" s="290">
        <f>'RAB summary'!I70</f>
        <v>16287.447046278623</v>
      </c>
      <c r="AF45" s="290">
        <f>'RAB summary'!J70</f>
        <v>19285.6701232017</v>
      </c>
      <c r="AG45" s="290">
        <f>'RAB summary'!K70</f>
        <v>20873.293200124779</v>
      </c>
      <c r="AH45" s="290">
        <f>'RAB summary'!L70</f>
        <v>15046.016277047858</v>
      </c>
      <c r="AI45" s="290">
        <f>'RAB summary'!M70</f>
        <v>8182.3932001247786</v>
      </c>
      <c r="AK45" s="291">
        <f t="shared" si="70"/>
        <v>-838.49196633511838</v>
      </c>
      <c r="AL45" s="291">
        <f t="shared" si="71"/>
        <v>-699.91725217826661</v>
      </c>
      <c r="AM45" s="291">
        <f t="shared" si="72"/>
        <v>-490.33077733824302</v>
      </c>
      <c r="AN45" s="291">
        <f t="shared" si="73"/>
        <v>-257.32594346810765</v>
      </c>
      <c r="AO45" s="291">
        <f t="shared" si="74"/>
        <v>-188.11231737381968</v>
      </c>
      <c r="AP45" s="291">
        <f t="shared" si="75"/>
        <v>-347.77370582002914</v>
      </c>
      <c r="AQ45" s="291">
        <f t="shared" si="76"/>
        <v>-347.77370582002914</v>
      </c>
      <c r="AR45" s="291">
        <f t="shared" si="77"/>
        <v>-347.77370582002914</v>
      </c>
      <c r="AS45" s="291">
        <f t="shared" si="78"/>
        <v>-347.77370582002732</v>
      </c>
      <c r="AT45" s="291">
        <f t="shared" si="79"/>
        <v>-347.77370582002823</v>
      </c>
    </row>
    <row r="46" spans="1:46">
      <c r="A46" t="s">
        <v>46</v>
      </c>
      <c r="B46" s="63" t="s">
        <v>40</v>
      </c>
      <c r="C46" s="3"/>
      <c r="D46" s="67">
        <f>'4 RAB Overview'!N47</f>
        <v>3287.3815599825366</v>
      </c>
      <c r="E46" s="67">
        <f>'4 RAB Overview'!O47</f>
        <v>5492.0235974945826</v>
      </c>
      <c r="F46" s="67">
        <f>'4 RAB Overview'!P47</f>
        <v>7729.5172534240901</v>
      </c>
      <c r="G46" s="273">
        <f>'4 RAB Overview'!Q47</f>
        <v>9323.8522027331819</v>
      </c>
      <c r="H46" s="273">
        <f>'4 RAB Overview'!R47</f>
        <v>11139.504460359749</v>
      </c>
      <c r="I46" s="70">
        <f>'4 RAB Overview'!S47</f>
        <v>14557.705367483268</v>
      </c>
      <c r="J46" s="68">
        <f>'4 RAB Overview'!T47</f>
        <v>18134.332290560189</v>
      </c>
      <c r="K46" s="68">
        <f>'4 RAB Overview'!U47</f>
        <v>20427.255367483267</v>
      </c>
      <c r="L46" s="68">
        <f>'4 RAB Overview'!V47</f>
        <v>18307.428444406345</v>
      </c>
      <c r="M46" s="68">
        <f>'4 RAB Overview'!W47</f>
        <v>11961.978444406346</v>
      </c>
      <c r="O46" s="249">
        <f t="shared" si="62"/>
        <v>3215.698029409084</v>
      </c>
      <c r="P46" s="249">
        <f t="shared" si="63"/>
        <v>5189.6172722814663</v>
      </c>
      <c r="Q46" s="249">
        <f t="shared" si="64"/>
        <v>7066.2765881320693</v>
      </c>
      <c r="R46" s="249">
        <f>G46*(Inflation!$F$6/Inflation!$K$6)</f>
        <v>8272.4115483652822</v>
      </c>
      <c r="S46" s="249">
        <f>H46*(Inflation!$F$6/Inflation!$K$6)</f>
        <v>9883.3146790908668</v>
      </c>
      <c r="T46" s="290">
        <f t="shared" si="65"/>
        <v>14557.705367483268</v>
      </c>
      <c r="U46" s="290">
        <f t="shared" si="83"/>
        <v>18134.332290560189</v>
      </c>
      <c r="V46" s="290">
        <f t="shared" si="84"/>
        <v>20427.255367483267</v>
      </c>
      <c r="W46" s="290">
        <f t="shared" si="85"/>
        <v>18307.428444406345</v>
      </c>
      <c r="X46" s="290">
        <f t="shared" si="86"/>
        <v>11961.978444406346</v>
      </c>
      <c r="Z46" s="249">
        <f>RAB!I361</f>
        <v>2377.2060630739657</v>
      </c>
      <c r="AA46" s="249">
        <f>RAB!J361</f>
        <v>4489.7000201031988</v>
      </c>
      <c r="AB46" s="249">
        <f>RAB!K361</f>
        <v>6575.9458107938262</v>
      </c>
      <c r="AC46" s="249">
        <f>RAB!L361</f>
        <v>8015.0856048971746</v>
      </c>
      <c r="AD46" s="249">
        <f>RAB!M361</f>
        <v>9660.5955486699022</v>
      </c>
      <c r="AE46" s="290">
        <f>'RAB summary'!I71</f>
        <v>14209.931661663239</v>
      </c>
      <c r="AF46" s="290">
        <f>'RAB summary'!J71</f>
        <v>17786.55858474016</v>
      </c>
      <c r="AG46" s="290">
        <f>'RAB summary'!K71</f>
        <v>20079.481661663238</v>
      </c>
      <c r="AH46" s="290">
        <f>'RAB summary'!L71</f>
        <v>17959.65473858632</v>
      </c>
      <c r="AI46" s="290">
        <f>'RAB summary'!M71</f>
        <v>11614.204738586319</v>
      </c>
      <c r="AK46" s="291">
        <f t="shared" si="70"/>
        <v>-838.49196633511838</v>
      </c>
      <c r="AL46" s="291">
        <f t="shared" si="71"/>
        <v>-699.91725217826752</v>
      </c>
      <c r="AM46" s="291">
        <f t="shared" si="72"/>
        <v>-490.33077733824302</v>
      </c>
      <c r="AN46" s="291">
        <f t="shared" si="73"/>
        <v>-257.32594346810765</v>
      </c>
      <c r="AO46" s="291">
        <f t="shared" si="74"/>
        <v>-222.71913042096458</v>
      </c>
      <c r="AP46" s="291">
        <f t="shared" si="75"/>
        <v>-347.77370582002914</v>
      </c>
      <c r="AQ46" s="291">
        <f t="shared" si="76"/>
        <v>-347.77370582002914</v>
      </c>
      <c r="AR46" s="291">
        <f t="shared" si="77"/>
        <v>-347.77370582002914</v>
      </c>
      <c r="AS46" s="291">
        <f t="shared" si="78"/>
        <v>-347.7737058200255</v>
      </c>
      <c r="AT46" s="291">
        <f t="shared" si="79"/>
        <v>-347.77370582002732</v>
      </c>
    </row>
    <row r="48" spans="1:46" ht="18">
      <c r="A48" s="256" t="s">
        <v>343</v>
      </c>
      <c r="B48" s="256"/>
    </row>
    <row r="49" spans="1:13">
      <c r="C49" s="258" t="s">
        <v>11</v>
      </c>
      <c r="D49" s="423" t="s">
        <v>56</v>
      </c>
      <c r="E49" s="423"/>
      <c r="F49" s="423"/>
      <c r="G49" s="425" t="s">
        <v>403</v>
      </c>
      <c r="H49" s="425"/>
      <c r="I49" s="424" t="s">
        <v>64</v>
      </c>
      <c r="J49" s="424"/>
      <c r="K49" s="424"/>
      <c r="L49" s="424"/>
      <c r="M49" s="424"/>
    </row>
    <row r="50" spans="1:13">
      <c r="A50" s="1" t="s">
        <v>65</v>
      </c>
      <c r="B50" s="1" t="s">
        <v>10</v>
      </c>
      <c r="C50" s="1"/>
      <c r="D50" s="279" t="s">
        <v>0</v>
      </c>
      <c r="E50" s="279" t="s">
        <v>1</v>
      </c>
      <c r="F50" s="279" t="s">
        <v>2</v>
      </c>
      <c r="G50" s="276" t="s">
        <v>3</v>
      </c>
      <c r="H50" s="277" t="s">
        <v>4</v>
      </c>
      <c r="I50" s="281" t="s">
        <v>5</v>
      </c>
      <c r="J50" s="282" t="s">
        <v>6</v>
      </c>
      <c r="K50" s="282" t="s">
        <v>7</v>
      </c>
      <c r="L50" s="282" t="s">
        <v>8</v>
      </c>
      <c r="M50" s="282" t="s">
        <v>9</v>
      </c>
    </row>
    <row r="51" spans="1:13">
      <c r="A51" t="s">
        <v>61</v>
      </c>
      <c r="B51" s="63" t="s">
        <v>40</v>
      </c>
      <c r="C51" s="3"/>
      <c r="D51" s="280">
        <f t="shared" ref="D51:M51" si="87">D17</f>
        <v>29.1779346977812</v>
      </c>
      <c r="E51" s="280">
        <f t="shared" si="87"/>
        <v>16.597018373983737</v>
      </c>
      <c r="F51" s="280">
        <f t="shared" si="87"/>
        <v>62.589909703253483</v>
      </c>
      <c r="G51" s="278">
        <f t="shared" si="87"/>
        <v>0</v>
      </c>
      <c r="H51" s="278">
        <f t="shared" si="87"/>
        <v>0</v>
      </c>
      <c r="I51" s="283">
        <f t="shared" si="87"/>
        <v>1677.002</v>
      </c>
      <c r="J51" s="283">
        <f t="shared" si="87"/>
        <v>67.806411999999995</v>
      </c>
      <c r="K51" s="283">
        <f t="shared" si="87"/>
        <v>68.213250471999999</v>
      </c>
      <c r="L51" s="283">
        <f t="shared" si="87"/>
        <v>68.622529974832005</v>
      </c>
      <c r="M51" s="283">
        <f t="shared" si="87"/>
        <v>69.034265154680995</v>
      </c>
    </row>
    <row r="52" spans="1:13">
      <c r="A52" t="s">
        <v>58</v>
      </c>
      <c r="B52" s="63" t="s">
        <v>40</v>
      </c>
      <c r="C52" s="3"/>
      <c r="D52" s="280">
        <f t="shared" ref="D52:M52" si="88">D25</f>
        <v>3902.4594420198928</v>
      </c>
      <c r="E52" s="280">
        <f t="shared" si="88"/>
        <v>803.5123249593496</v>
      </c>
      <c r="F52" s="280">
        <f t="shared" si="88"/>
        <v>1271.7388932284593</v>
      </c>
      <c r="G52" s="278">
        <f t="shared" si="88"/>
        <v>825.09922000000006</v>
      </c>
      <c r="H52" s="278">
        <f t="shared" si="88"/>
        <v>2606.0504123199494</v>
      </c>
      <c r="I52" s="283">
        <f t="shared" si="88"/>
        <v>6721.2519419351092</v>
      </c>
      <c r="J52" s="283">
        <f t="shared" si="88"/>
        <v>6895.6699618045741</v>
      </c>
      <c r="K52" s="283">
        <f t="shared" si="88"/>
        <v>4083.3627226290241</v>
      </c>
      <c r="L52" s="283">
        <f t="shared" si="88"/>
        <v>3571.632221615605</v>
      </c>
      <c r="M52" s="283">
        <f t="shared" si="88"/>
        <v>3172.9225777817583</v>
      </c>
    </row>
    <row r="53" spans="1:13">
      <c r="A53" t="s">
        <v>66</v>
      </c>
      <c r="B53" s="63" t="s">
        <v>40</v>
      </c>
      <c r="C53" s="3"/>
      <c r="D53" s="280">
        <f t="shared" ref="D53:M53" si="89">D33</f>
        <v>0</v>
      </c>
      <c r="E53" s="280">
        <f t="shared" si="89"/>
        <v>0</v>
      </c>
      <c r="F53" s="280">
        <f t="shared" si="89"/>
        <v>0</v>
      </c>
      <c r="G53" s="278">
        <f t="shared" si="89"/>
        <v>0</v>
      </c>
      <c r="H53" s="278">
        <f t="shared" si="89"/>
        <v>25758.172288610051</v>
      </c>
      <c r="I53" s="283">
        <f t="shared" si="89"/>
        <v>0</v>
      </c>
      <c r="J53" s="283">
        <f t="shared" si="89"/>
        <v>0</v>
      </c>
      <c r="K53" s="283">
        <f t="shared" si="89"/>
        <v>0</v>
      </c>
      <c r="L53" s="283">
        <f t="shared" si="89"/>
        <v>0</v>
      </c>
      <c r="M53" s="283">
        <f t="shared" si="89"/>
        <v>0</v>
      </c>
    </row>
    <row r="54" spans="1:13">
      <c r="A54" t="s">
        <v>62</v>
      </c>
      <c r="B54" s="63" t="s">
        <v>40</v>
      </c>
      <c r="C54" s="3"/>
      <c r="D54" s="280">
        <f t="shared" ref="D54:M54" si="90">D41</f>
        <v>1758.7631199650732</v>
      </c>
      <c r="E54" s="280">
        <f t="shared" si="90"/>
        <v>2650.520955059018</v>
      </c>
      <c r="F54" s="280">
        <f t="shared" si="90"/>
        <v>1824.4663567999996</v>
      </c>
      <c r="G54" s="278">
        <f t="shared" si="90"/>
        <v>1364.203541818182</v>
      </c>
      <c r="H54" s="278">
        <f t="shared" si="90"/>
        <v>3478.3346234349551</v>
      </c>
      <c r="I54" s="283">
        <f t="shared" si="90"/>
        <v>5074.2615384615383</v>
      </c>
      <c r="J54" s="283">
        <f t="shared" si="90"/>
        <v>3991.1461538461544</v>
      </c>
      <c r="K54" s="283">
        <f t="shared" si="90"/>
        <v>3299.6846153846159</v>
      </c>
      <c r="L54" s="283">
        <f t="shared" si="90"/>
        <v>2784.1153846153852</v>
      </c>
      <c r="M54" s="283">
        <f t="shared" si="90"/>
        <v>2149.7307692307691</v>
      </c>
    </row>
    <row r="56" spans="1:13">
      <c r="A56" s="1" t="s">
        <v>65</v>
      </c>
      <c r="B56" s="1" t="s">
        <v>10</v>
      </c>
      <c r="C56" s="1" t="s">
        <v>11</v>
      </c>
      <c r="D56" s="227" t="s">
        <v>0</v>
      </c>
      <c r="E56" s="227" t="s">
        <v>1</v>
      </c>
      <c r="F56" s="227" t="s">
        <v>2</v>
      </c>
      <c r="G56" s="227" t="s">
        <v>3</v>
      </c>
      <c r="H56" s="245" t="s">
        <v>4</v>
      </c>
      <c r="I56" s="245" t="s">
        <v>5</v>
      </c>
      <c r="J56" s="227" t="s">
        <v>6</v>
      </c>
      <c r="K56" s="227" t="s">
        <v>7</v>
      </c>
      <c r="L56" s="227" t="s">
        <v>8</v>
      </c>
      <c r="M56" s="227" t="s">
        <v>9</v>
      </c>
    </row>
    <row r="57" spans="1:13">
      <c r="A57" t="s">
        <v>61</v>
      </c>
      <c r="B57" s="63" t="s">
        <v>40</v>
      </c>
      <c r="C57" s="3" t="s">
        <v>52</v>
      </c>
      <c r="D57" s="71">
        <f t="shared" ref="D57:M60" si="91">D51*F$9</f>
        <v>29.1779346977812</v>
      </c>
      <c r="E57" s="71">
        <f t="shared" si="91"/>
        <v>16.597018373983737</v>
      </c>
      <c r="F57" s="71">
        <f t="shared" si="91"/>
        <v>62.589909703253483</v>
      </c>
      <c r="G57" s="71">
        <f t="shared" si="91"/>
        <v>0</v>
      </c>
      <c r="H57" s="71">
        <f t="shared" si="91"/>
        <v>0</v>
      </c>
      <c r="I57" s="71">
        <f t="shared" si="91"/>
        <v>1726.4392708550185</v>
      </c>
      <c r="J57" s="71">
        <f t="shared" si="91"/>
        <v>71.201421073097393</v>
      </c>
      <c r="K57" s="71">
        <f t="shared" si="91"/>
        <v>73.061202191526704</v>
      </c>
      <c r="L57" s="71">
        <f t="shared" si="91"/>
        <v>74.969560792769386</v>
      </c>
      <c r="M57" s="71">
        <f t="shared" si="91"/>
        <v>76.927765720676533</v>
      </c>
    </row>
    <row r="58" spans="1:13">
      <c r="A58" t="s">
        <v>58</v>
      </c>
      <c r="B58" s="63" t="s">
        <v>40</v>
      </c>
      <c r="C58" s="3" t="s">
        <v>52</v>
      </c>
      <c r="D58" s="71">
        <f t="shared" si="91"/>
        <v>3902.4594420198928</v>
      </c>
      <c r="E58" s="71">
        <f t="shared" si="91"/>
        <v>803.5123249593496</v>
      </c>
      <c r="F58" s="71">
        <f t="shared" si="91"/>
        <v>1271.7388932284593</v>
      </c>
      <c r="G58" s="71">
        <f t="shared" si="91"/>
        <v>825.09922000000006</v>
      </c>
      <c r="H58" s="71">
        <f t="shared" si="91"/>
        <v>2645.8374415156741</v>
      </c>
      <c r="I58" s="71">
        <f t="shared" si="91"/>
        <v>6919.3914508553516</v>
      </c>
      <c r="J58" s="71">
        <f t="shared" si="91"/>
        <v>7240.9302608661392</v>
      </c>
      <c r="K58" s="71">
        <f t="shared" si="91"/>
        <v>4373.5694668560327</v>
      </c>
      <c r="L58" s="71">
        <f t="shared" si="91"/>
        <v>3901.9794091828162</v>
      </c>
      <c r="M58" s="71">
        <f t="shared" si="91"/>
        <v>3535.7201842669206</v>
      </c>
    </row>
    <row r="59" spans="1:13">
      <c r="A59" t="s">
        <v>66</v>
      </c>
      <c r="B59" s="63" t="s">
        <v>40</v>
      </c>
      <c r="C59" s="3" t="s">
        <v>52</v>
      </c>
      <c r="D59" s="71">
        <f t="shared" si="91"/>
        <v>0</v>
      </c>
      <c r="E59" s="71">
        <f t="shared" si="91"/>
        <v>0</v>
      </c>
      <c r="F59" s="71">
        <f t="shared" si="91"/>
        <v>0</v>
      </c>
      <c r="G59" s="71">
        <f t="shared" si="91"/>
        <v>0</v>
      </c>
      <c r="H59" s="71">
        <f t="shared" si="91"/>
        <v>26151.426827367457</v>
      </c>
      <c r="I59" s="71">
        <f t="shared" si="91"/>
        <v>0</v>
      </c>
      <c r="J59" s="71">
        <f t="shared" si="91"/>
        <v>0</v>
      </c>
      <c r="K59" s="71">
        <f t="shared" si="91"/>
        <v>0</v>
      </c>
      <c r="L59" s="71">
        <f t="shared" si="91"/>
        <v>0</v>
      </c>
      <c r="M59" s="71">
        <f t="shared" si="91"/>
        <v>0</v>
      </c>
    </row>
    <row r="60" spans="1:13">
      <c r="A60" t="s">
        <v>62</v>
      </c>
      <c r="B60" s="63" t="s">
        <v>40</v>
      </c>
      <c r="C60" s="3" t="s">
        <v>52</v>
      </c>
      <c r="D60" s="71">
        <f t="shared" si="91"/>
        <v>1758.7631199650732</v>
      </c>
      <c r="E60" s="71">
        <f t="shared" si="91"/>
        <v>2650.520955059018</v>
      </c>
      <c r="F60" s="71">
        <f t="shared" si="91"/>
        <v>1824.4663567999996</v>
      </c>
      <c r="G60" s="71">
        <f t="shared" si="91"/>
        <v>1364.203541818182</v>
      </c>
      <c r="H60" s="71">
        <f t="shared" si="91"/>
        <v>3531.4389688309088</v>
      </c>
      <c r="I60" s="71">
        <f t="shared" si="91"/>
        <v>5223.8485050042891</v>
      </c>
      <c r="J60" s="71">
        <f t="shared" si="91"/>
        <v>4190.9794292650849</v>
      </c>
      <c r="K60" s="71">
        <f t="shared" si="91"/>
        <v>3534.1949428409498</v>
      </c>
      <c r="L60" s="71">
        <f t="shared" si="91"/>
        <v>3041.6236133753628</v>
      </c>
      <c r="M60" s="71">
        <f t="shared" si="91"/>
        <v>2395.5348059021217</v>
      </c>
    </row>
    <row r="62" spans="1:13">
      <c r="A62" s="1" t="s">
        <v>65</v>
      </c>
      <c r="B62" s="1" t="s">
        <v>10</v>
      </c>
      <c r="C62" s="1" t="s">
        <v>11</v>
      </c>
      <c r="D62" s="227" t="s">
        <v>0</v>
      </c>
      <c r="E62" s="227" t="s">
        <v>1</v>
      </c>
      <c r="F62" s="227" t="s">
        <v>2</v>
      </c>
      <c r="G62" s="227" t="s">
        <v>3</v>
      </c>
      <c r="H62" s="245" t="s">
        <v>4</v>
      </c>
      <c r="I62" s="245" t="s">
        <v>5</v>
      </c>
      <c r="J62" s="227" t="s">
        <v>6</v>
      </c>
      <c r="K62" s="227" t="s">
        <v>7</v>
      </c>
      <c r="L62" s="227" t="s">
        <v>8</v>
      </c>
      <c r="M62" s="227" t="s">
        <v>9</v>
      </c>
    </row>
    <row r="63" spans="1:13">
      <c r="A63" t="s">
        <v>61</v>
      </c>
      <c r="B63" s="63" t="s">
        <v>40</v>
      </c>
      <c r="C63" s="3" t="s">
        <v>53</v>
      </c>
      <c r="D63" s="71">
        <f>D57*F$5</f>
        <v>31.208208483909122</v>
      </c>
      <c r="E63" s="71">
        <f t="shared" ref="E63:M66" si="92">E57*G$5</f>
        <v>17.304643188378389</v>
      </c>
      <c r="F63" s="71">
        <f t="shared" si="92"/>
        <v>63.835775204455679</v>
      </c>
      <c r="G63" s="71">
        <f t="shared" si="92"/>
        <v>0</v>
      </c>
      <c r="H63" s="71">
        <f t="shared" si="92"/>
        <v>0</v>
      </c>
      <c r="I63" s="71">
        <f t="shared" si="92"/>
        <v>1677.0020000000002</v>
      </c>
      <c r="J63" s="71">
        <f t="shared" si="92"/>
        <v>67.806411999999995</v>
      </c>
      <c r="K63" s="71">
        <f t="shared" si="92"/>
        <v>68.213250472000013</v>
      </c>
      <c r="L63" s="71">
        <f t="shared" si="92"/>
        <v>68.622529974832005</v>
      </c>
      <c r="M63" s="71">
        <f t="shared" si="92"/>
        <v>69.034265154681009</v>
      </c>
    </row>
    <row r="64" spans="1:13">
      <c r="A64" t="s">
        <v>58</v>
      </c>
      <c r="B64" s="63" t="s">
        <v>40</v>
      </c>
      <c r="C64" s="3" t="s">
        <v>53</v>
      </c>
      <c r="D64" s="71">
        <f t="shared" ref="D64:D66" si="93">D58*F$5</f>
        <v>4174.0023455401642</v>
      </c>
      <c r="E64" s="71">
        <f t="shared" si="92"/>
        <v>837.77060238009699</v>
      </c>
      <c r="F64" s="71">
        <f t="shared" si="92"/>
        <v>1297.0531271221062</v>
      </c>
      <c r="G64" s="71">
        <f t="shared" si="92"/>
        <v>825.09922000000006</v>
      </c>
      <c r="H64" s="71">
        <f t="shared" si="92"/>
        <v>2621.4742974869846</v>
      </c>
      <c r="I64" s="71">
        <f t="shared" si="92"/>
        <v>6721.2519419351092</v>
      </c>
      <c r="J64" s="71">
        <f t="shared" si="92"/>
        <v>6895.6699618045741</v>
      </c>
      <c r="K64" s="71">
        <f t="shared" si="92"/>
        <v>4083.3627226290237</v>
      </c>
      <c r="L64" s="71">
        <f t="shared" si="92"/>
        <v>3571.6322216156054</v>
      </c>
      <c r="M64" s="71">
        <f t="shared" si="92"/>
        <v>3172.9225777817583</v>
      </c>
    </row>
    <row r="65" spans="1:13">
      <c r="A65" t="s">
        <v>66</v>
      </c>
      <c r="B65" s="63" t="s">
        <v>40</v>
      </c>
      <c r="C65" s="3" t="s">
        <v>53</v>
      </c>
      <c r="D65" s="71">
        <f t="shared" si="93"/>
        <v>0</v>
      </c>
      <c r="E65" s="71">
        <f t="shared" si="92"/>
        <v>0</v>
      </c>
      <c r="F65" s="71">
        <f t="shared" si="92"/>
        <v>0</v>
      </c>
      <c r="G65" s="71">
        <f t="shared" si="92"/>
        <v>0</v>
      </c>
      <c r="H65" s="71">
        <f t="shared" si="92"/>
        <v>25910.621792124664</v>
      </c>
      <c r="I65" s="71">
        <f t="shared" si="92"/>
        <v>0</v>
      </c>
      <c r="J65" s="71">
        <f t="shared" si="92"/>
        <v>0</v>
      </c>
      <c r="K65" s="71">
        <f t="shared" si="92"/>
        <v>0</v>
      </c>
      <c r="L65" s="71">
        <f t="shared" si="92"/>
        <v>0</v>
      </c>
      <c r="M65" s="71">
        <f t="shared" si="92"/>
        <v>0</v>
      </c>
    </row>
    <row r="66" spans="1:13">
      <c r="A66" t="s">
        <v>62</v>
      </c>
      <c r="B66" s="63" t="s">
        <v>40</v>
      </c>
      <c r="C66" s="3" t="s">
        <v>53</v>
      </c>
      <c r="D66" s="71">
        <f t="shared" si="93"/>
        <v>1881.1422635014105</v>
      </c>
      <c r="E66" s="71">
        <f t="shared" si="92"/>
        <v>2763.5276624452549</v>
      </c>
      <c r="F66" s="71">
        <f t="shared" si="92"/>
        <v>1860.7827487363027</v>
      </c>
      <c r="G66" s="71">
        <f t="shared" si="92"/>
        <v>1364.203541818182</v>
      </c>
      <c r="H66" s="71">
        <f t="shared" si="92"/>
        <v>3498.9211146059465</v>
      </c>
      <c r="I66" s="71">
        <f t="shared" si="92"/>
        <v>5074.2615384615383</v>
      </c>
      <c r="J66" s="71">
        <f t="shared" si="92"/>
        <v>3991.1461538461544</v>
      </c>
      <c r="K66" s="71">
        <f t="shared" si="92"/>
        <v>3299.6846153846159</v>
      </c>
      <c r="L66" s="71">
        <f t="shared" si="92"/>
        <v>2784.1153846153857</v>
      </c>
      <c r="M66" s="71">
        <f t="shared" si="92"/>
        <v>2149.7307692307691</v>
      </c>
    </row>
    <row r="68" spans="1:13">
      <c r="A68" s="1" t="s">
        <v>65</v>
      </c>
      <c r="B68" s="1" t="s">
        <v>10</v>
      </c>
      <c r="C68" s="1" t="s">
        <v>11</v>
      </c>
      <c r="D68" s="227" t="s">
        <v>0</v>
      </c>
      <c r="E68" s="227" t="s">
        <v>1</v>
      </c>
      <c r="F68" s="227" t="s">
        <v>2</v>
      </c>
      <c r="G68" s="227" t="s">
        <v>3</v>
      </c>
      <c r="H68" s="245" t="s">
        <v>4</v>
      </c>
      <c r="I68" s="245" t="s">
        <v>5</v>
      </c>
      <c r="J68" s="227" t="s">
        <v>6</v>
      </c>
      <c r="K68" s="227" t="s">
        <v>7</v>
      </c>
      <c r="L68" s="227" t="s">
        <v>8</v>
      </c>
      <c r="M68" s="227" t="s">
        <v>9</v>
      </c>
    </row>
    <row r="69" spans="1:13">
      <c r="A69" t="s">
        <v>61</v>
      </c>
      <c r="B69" s="63" t="s">
        <v>40</v>
      </c>
      <c r="C69" s="3" t="s">
        <v>217</v>
      </c>
      <c r="D69" s="71">
        <f t="shared" ref="D69:H72" si="94">D57/F$8</f>
        <v>28.541690521127212</v>
      </c>
      <c r="E69" s="71">
        <f t="shared" si="94"/>
        <v>15.683139683028978</v>
      </c>
      <c r="F69" s="71">
        <f t="shared" si="94"/>
        <v>57.219306081951785</v>
      </c>
      <c r="G69" s="71">
        <f t="shared" si="94"/>
        <v>0</v>
      </c>
      <c r="H69" s="71">
        <f t="shared" si="94"/>
        <v>0</v>
      </c>
      <c r="I69" s="71"/>
      <c r="J69" s="71"/>
      <c r="K69" s="71"/>
      <c r="L69" s="71"/>
      <c r="M69" s="71"/>
    </row>
    <row r="70" spans="1:13">
      <c r="A70" t="s">
        <v>58</v>
      </c>
      <c r="B70" s="63" t="s">
        <v>40</v>
      </c>
      <c r="C70" s="3" t="s">
        <v>217</v>
      </c>
      <c r="D70" s="71">
        <f t="shared" si="94"/>
        <v>3817.3637311571788</v>
      </c>
      <c r="E70" s="71">
        <f t="shared" si="94"/>
        <v>759.26866774614075</v>
      </c>
      <c r="F70" s="71">
        <f t="shared" si="94"/>
        <v>1162.6157847640939</v>
      </c>
      <c r="G70" s="71">
        <f t="shared" si="94"/>
        <v>732.05367992366416</v>
      </c>
      <c r="H70" s="71">
        <f t="shared" si="94"/>
        <v>2312.1689466697121</v>
      </c>
      <c r="I70" s="71"/>
      <c r="J70" s="71"/>
      <c r="K70" s="71"/>
      <c r="L70" s="71"/>
      <c r="M70" s="71"/>
    </row>
    <row r="71" spans="1:13">
      <c r="A71" t="s">
        <v>66</v>
      </c>
      <c r="B71" s="63" t="s">
        <v>40</v>
      </c>
      <c r="C71" s="3" t="s">
        <v>217</v>
      </c>
      <c r="D71" s="71">
        <f t="shared" si="94"/>
        <v>0</v>
      </c>
      <c r="E71" s="71">
        <f t="shared" si="94"/>
        <v>0</v>
      </c>
      <c r="F71" s="71">
        <f t="shared" si="94"/>
        <v>0</v>
      </c>
      <c r="G71" s="71">
        <f t="shared" si="94"/>
        <v>0</v>
      </c>
      <c r="H71" s="71">
        <f t="shared" si="94"/>
        <v>22853.451263697396</v>
      </c>
      <c r="I71" s="71"/>
      <c r="J71" s="71"/>
      <c r="K71" s="71"/>
      <c r="L71" s="71"/>
      <c r="M71" s="71"/>
    </row>
    <row r="72" spans="1:13">
      <c r="A72" t="s">
        <v>62</v>
      </c>
      <c r="B72" s="63" t="s">
        <v>40</v>
      </c>
      <c r="C72" s="3" t="s">
        <v>217</v>
      </c>
      <c r="D72" s="71">
        <f t="shared" si="94"/>
        <v>1720.4121261479311</v>
      </c>
      <c r="E72" s="71">
        <f t="shared" si="94"/>
        <v>2504.5757879105354</v>
      </c>
      <c r="F72" s="71">
        <f t="shared" si="94"/>
        <v>1667.9157934707182</v>
      </c>
      <c r="G72" s="71">
        <f t="shared" si="94"/>
        <v>1210.3637947359789</v>
      </c>
      <c r="H72" s="71">
        <f t="shared" si="94"/>
        <v>3086.0866176693889</v>
      </c>
      <c r="I72" s="71"/>
      <c r="J72" s="71"/>
      <c r="K72" s="71"/>
      <c r="L72" s="71"/>
      <c r="M72" s="71"/>
    </row>
    <row r="74" spans="1:13" ht="18">
      <c r="A74" s="256" t="s">
        <v>344</v>
      </c>
      <c r="B74" s="256"/>
    </row>
    <row r="75" spans="1:13" ht="18">
      <c r="A75" s="62"/>
      <c r="C75" s="258" t="s">
        <v>11</v>
      </c>
      <c r="D75" s="423" t="s">
        <v>56</v>
      </c>
      <c r="E75" s="423"/>
      <c r="F75" s="423"/>
      <c r="G75" s="425" t="s">
        <v>403</v>
      </c>
      <c r="H75" s="425"/>
      <c r="I75" s="424" t="s">
        <v>64</v>
      </c>
      <c r="J75" s="424"/>
      <c r="K75" s="424"/>
      <c r="L75" s="424"/>
      <c r="M75" s="424"/>
    </row>
    <row r="76" spans="1:13">
      <c r="A76" s="1" t="s">
        <v>60</v>
      </c>
      <c r="B76" s="1" t="s">
        <v>10</v>
      </c>
      <c r="C76" s="1"/>
      <c r="D76" s="279" t="s">
        <v>0</v>
      </c>
      <c r="E76" s="279" t="s">
        <v>1</v>
      </c>
      <c r="F76" s="279" t="s">
        <v>2</v>
      </c>
      <c r="G76" s="276" t="s">
        <v>3</v>
      </c>
      <c r="H76" s="276" t="s">
        <v>4</v>
      </c>
      <c r="I76" s="284" t="s">
        <v>5</v>
      </c>
      <c r="J76" s="282" t="s">
        <v>6</v>
      </c>
      <c r="K76" s="282" t="s">
        <v>7</v>
      </c>
      <c r="L76" s="282" t="s">
        <v>8</v>
      </c>
      <c r="M76" s="282" t="s">
        <v>9</v>
      </c>
    </row>
    <row r="77" spans="1:13">
      <c r="A77" t="s">
        <v>61</v>
      </c>
      <c r="B77" s="63" t="s">
        <v>40</v>
      </c>
      <c r="C77" s="3"/>
      <c r="D77" s="280">
        <f t="shared" ref="D77:M77" si="95">D18</f>
        <v>153.22279228795929</v>
      </c>
      <c r="E77" s="280">
        <f t="shared" si="95"/>
        <v>153.55473265543898</v>
      </c>
      <c r="F77" s="280">
        <f t="shared" si="95"/>
        <v>155.1384712169837</v>
      </c>
      <c r="G77" s="278">
        <f t="shared" si="95"/>
        <v>156.39026941104879</v>
      </c>
      <c r="H77" s="278">
        <f t="shared" si="95"/>
        <v>156.39026941104879</v>
      </c>
      <c r="I77" s="283">
        <f t="shared" si="95"/>
        <v>192.39653195063499</v>
      </c>
      <c r="J77" s="283">
        <f t="shared" si="95"/>
        <v>227.29270019063497</v>
      </c>
      <c r="K77" s="283">
        <f t="shared" si="95"/>
        <v>230.01309344007498</v>
      </c>
      <c r="L77" s="283">
        <f t="shared" si="95"/>
        <v>232.74980904901162</v>
      </c>
      <c r="M77" s="283">
        <f t="shared" si="95"/>
        <v>235.5029449516019</v>
      </c>
    </row>
    <row r="78" spans="1:13">
      <c r="A78" t="s">
        <v>58</v>
      </c>
      <c r="B78" s="63" t="s">
        <v>40</v>
      </c>
      <c r="C78" s="3"/>
      <c r="D78" s="280">
        <f>D26</f>
        <v>4047.5400632001488</v>
      </c>
      <c r="E78" s="280">
        <f t="shared" ref="E78:M78" si="96">E26</f>
        <v>2343.5427960265174</v>
      </c>
      <c r="F78" s="280">
        <f t="shared" si="96"/>
        <v>2525.6014120104683</v>
      </c>
      <c r="G78" s="278">
        <f t="shared" si="96"/>
        <v>2237.5351428008316</v>
      </c>
      <c r="H78" s="278">
        <f t="shared" si="96"/>
        <v>2018.3766753291225</v>
      </c>
      <c r="I78" s="283">
        <f t="shared" si="96"/>
        <v>2478.233910280509</v>
      </c>
      <c r="J78" s="283">
        <f t="shared" si="96"/>
        <v>3244.781842121693</v>
      </c>
      <c r="K78" s="283">
        <f t="shared" si="96"/>
        <v>4010.4300890884251</v>
      </c>
      <c r="L78" s="283">
        <f t="shared" si="96"/>
        <v>4510.4606155970359</v>
      </c>
      <c r="M78" s="283">
        <f t="shared" si="96"/>
        <v>4836.3903234406516</v>
      </c>
    </row>
    <row r="79" spans="1:13">
      <c r="A79" t="s">
        <v>66</v>
      </c>
      <c r="B79" s="63" t="s">
        <v>40</v>
      </c>
      <c r="C79" s="3"/>
      <c r="D79" s="280">
        <f>D34</f>
        <v>0</v>
      </c>
      <c r="E79" s="280">
        <f t="shared" ref="E79:M79" si="97">E34</f>
        <v>0</v>
      </c>
      <c r="F79" s="280">
        <f t="shared" si="97"/>
        <v>0</v>
      </c>
      <c r="G79" s="278">
        <f t="shared" si="97"/>
        <v>0</v>
      </c>
      <c r="H79" s="278">
        <f t="shared" si="97"/>
        <v>5151.6344577220098</v>
      </c>
      <c r="I79" s="283">
        <f t="shared" si="97"/>
        <v>5232.8740198967471</v>
      </c>
      <c r="J79" s="283">
        <f t="shared" si="97"/>
        <v>5232.8740198967471</v>
      </c>
      <c r="K79" s="283">
        <f t="shared" si="97"/>
        <v>5232.8740198967471</v>
      </c>
      <c r="L79" s="283">
        <f t="shared" si="97"/>
        <v>5232.8740198967471</v>
      </c>
      <c r="M79" s="283">
        <f t="shared" si="97"/>
        <v>0</v>
      </c>
    </row>
    <row r="81" spans="1:13">
      <c r="A81" s="1" t="s">
        <v>60</v>
      </c>
      <c r="B81" s="1" t="s">
        <v>10</v>
      </c>
      <c r="C81" s="1" t="s">
        <v>11</v>
      </c>
      <c r="D81" s="227" t="s">
        <v>0</v>
      </c>
      <c r="E81" s="227" t="s">
        <v>1</v>
      </c>
      <c r="F81" s="227" t="s">
        <v>2</v>
      </c>
      <c r="G81" s="227" t="s">
        <v>3</v>
      </c>
      <c r="H81" s="227" t="s">
        <v>4</v>
      </c>
      <c r="I81" s="263" t="s">
        <v>5</v>
      </c>
      <c r="J81" s="227" t="s">
        <v>6</v>
      </c>
      <c r="K81" s="227" t="s">
        <v>7</v>
      </c>
      <c r="L81" s="227" t="s">
        <v>8</v>
      </c>
      <c r="M81" s="227" t="s">
        <v>9</v>
      </c>
    </row>
    <row r="82" spans="1:13">
      <c r="A82" t="s">
        <v>61</v>
      </c>
      <c r="B82" s="63" t="s">
        <v>40</v>
      </c>
      <c r="C82" s="3" t="s">
        <v>52</v>
      </c>
      <c r="D82" s="71">
        <f t="shared" ref="D82:M84" si="98">D77*F$9</f>
        <v>153.22279228795929</v>
      </c>
      <c r="E82" s="71">
        <f t="shared" si="98"/>
        <v>153.55473265543898</v>
      </c>
      <c r="F82" s="71">
        <f t="shared" si="98"/>
        <v>155.1384712169837</v>
      </c>
      <c r="G82" s="71">
        <f t="shared" si="98"/>
        <v>156.39026941104879</v>
      </c>
      <c r="H82" s="71">
        <f t="shared" si="98"/>
        <v>158.77790711198085</v>
      </c>
      <c r="I82" s="71">
        <f t="shared" si="98"/>
        <v>198.06829588509049</v>
      </c>
      <c r="J82" s="71">
        <f t="shared" si="98"/>
        <v>238.67305134969661</v>
      </c>
      <c r="K82" s="71">
        <f t="shared" si="98"/>
        <v>246.36024541041229</v>
      </c>
      <c r="L82" s="71">
        <f t="shared" si="98"/>
        <v>254.27729005918309</v>
      </c>
      <c r="M82" s="71">
        <f t="shared" si="98"/>
        <v>262.43077021495282</v>
      </c>
    </row>
    <row r="83" spans="1:13">
      <c r="A83" t="s">
        <v>58</v>
      </c>
      <c r="B83" s="63" t="s">
        <v>40</v>
      </c>
      <c r="C83" s="3" t="s">
        <v>52</v>
      </c>
      <c r="D83" s="71">
        <f t="shared" si="98"/>
        <v>4047.5400632001488</v>
      </c>
      <c r="E83" s="71">
        <f t="shared" si="98"/>
        <v>2343.5427960265174</v>
      </c>
      <c r="F83" s="71">
        <f t="shared" si="98"/>
        <v>2525.6014120104683</v>
      </c>
      <c r="G83" s="71">
        <f t="shared" si="98"/>
        <v>2237.5351428008316</v>
      </c>
      <c r="H83" s="71">
        <f t="shared" si="98"/>
        <v>2049.1915864028497</v>
      </c>
      <c r="I83" s="71">
        <f t="shared" si="98"/>
        <v>2551.2911404237225</v>
      </c>
      <c r="J83" s="71">
        <f t="shared" si="98"/>
        <v>3407.2452946079388</v>
      </c>
      <c r="K83" s="71">
        <f t="shared" si="98"/>
        <v>4295.4534725499489</v>
      </c>
      <c r="L83" s="71">
        <f t="shared" si="98"/>
        <v>4927.6418611848458</v>
      </c>
      <c r="M83" s="71">
        <f t="shared" si="98"/>
        <v>5389.3917882916976</v>
      </c>
    </row>
    <row r="84" spans="1:13">
      <c r="A84" t="s">
        <v>66</v>
      </c>
      <c r="B84" s="63" t="s">
        <v>40</v>
      </c>
      <c r="C84" s="3" t="s">
        <v>52</v>
      </c>
      <c r="D84" s="71">
        <f t="shared" si="98"/>
        <v>0</v>
      </c>
      <c r="E84" s="71">
        <f t="shared" si="98"/>
        <v>0</v>
      </c>
      <c r="F84" s="71">
        <f t="shared" si="98"/>
        <v>0</v>
      </c>
      <c r="G84" s="71">
        <f t="shared" si="98"/>
        <v>0</v>
      </c>
      <c r="H84" s="71">
        <f t="shared" si="98"/>
        <v>5230.2853654734909</v>
      </c>
      <c r="I84" s="71">
        <f t="shared" si="98"/>
        <v>5387.1368116357107</v>
      </c>
      <c r="J84" s="71">
        <f t="shared" si="98"/>
        <v>5494.8795478684242</v>
      </c>
      <c r="K84" s="71">
        <f t="shared" si="98"/>
        <v>5604.7771388257934</v>
      </c>
      <c r="L84" s="71">
        <f t="shared" si="98"/>
        <v>5716.87268160231</v>
      </c>
      <c r="M84" s="71">
        <f t="shared" si="98"/>
        <v>0</v>
      </c>
    </row>
    <row r="86" spans="1:13">
      <c r="A86" s="1" t="s">
        <v>60</v>
      </c>
      <c r="B86" s="1" t="s">
        <v>10</v>
      </c>
      <c r="C86" s="1" t="s">
        <v>11</v>
      </c>
      <c r="D86" s="227" t="s">
        <v>0</v>
      </c>
      <c r="E86" s="227" t="s">
        <v>1</v>
      </c>
      <c r="F86" s="227" t="s">
        <v>2</v>
      </c>
      <c r="G86" s="227" t="s">
        <v>3</v>
      </c>
      <c r="H86" s="227" t="s">
        <v>4</v>
      </c>
      <c r="I86" s="263" t="s">
        <v>5</v>
      </c>
      <c r="J86" s="227" t="s">
        <v>6</v>
      </c>
      <c r="K86" s="227" t="s">
        <v>7</v>
      </c>
      <c r="L86" s="227" t="s">
        <v>8</v>
      </c>
      <c r="M86" s="227" t="s">
        <v>9</v>
      </c>
    </row>
    <row r="87" spans="1:13">
      <c r="A87" t="s">
        <v>61</v>
      </c>
      <c r="B87" s="63" t="s">
        <v>40</v>
      </c>
      <c r="C87" s="3" t="s">
        <v>53</v>
      </c>
      <c r="D87" s="71">
        <f>D82*F$5</f>
        <v>163.88441799388093</v>
      </c>
      <c r="E87" s="71">
        <f t="shared" ref="E87:E89" si="99">E82*G$5</f>
        <v>160.10163986167862</v>
      </c>
      <c r="F87" s="71">
        <f t="shared" ref="F87:F89" si="100">F82*H$5</f>
        <v>158.22653557296155</v>
      </c>
      <c r="G87" s="71">
        <f t="shared" ref="G87:G89" si="101">G82*I$5</f>
        <v>156.39026941104879</v>
      </c>
      <c r="H87" s="71">
        <f t="shared" ref="H87:H89" si="102">H82*J$5</f>
        <v>157.31586376840829</v>
      </c>
      <c r="I87" s="71">
        <f t="shared" ref="I87:I89" si="103">I82*K$5</f>
        <v>192.39653195063499</v>
      </c>
      <c r="J87" s="71">
        <f t="shared" ref="J87:J89" si="104">J82*L$5</f>
        <v>227.29270019063495</v>
      </c>
      <c r="K87" s="71">
        <f t="shared" ref="K87:K89" si="105">K82*M$5</f>
        <v>230.01309344007498</v>
      </c>
      <c r="L87" s="71">
        <f t="shared" ref="L87:L89" si="106">L82*N$5</f>
        <v>232.74980904901165</v>
      </c>
      <c r="M87" s="71">
        <f t="shared" ref="M87:M89" si="107">M82*O$5</f>
        <v>235.5029449516019</v>
      </c>
    </row>
    <row r="88" spans="1:13">
      <c r="A88" t="s">
        <v>58</v>
      </c>
      <c r="B88" s="63" t="s">
        <v>40</v>
      </c>
      <c r="C88" s="3" t="s">
        <v>53</v>
      </c>
      <c r="D88" s="71">
        <f t="shared" ref="D88:D89" si="108">D83*F$5</f>
        <v>4329.1780397647717</v>
      </c>
      <c r="E88" s="71">
        <f t="shared" si="99"/>
        <v>2443.4612873299734</v>
      </c>
      <c r="F88" s="71">
        <f t="shared" si="100"/>
        <v>2575.8740467519087</v>
      </c>
      <c r="G88" s="71">
        <f t="shared" si="101"/>
        <v>2237.5351428008316</v>
      </c>
      <c r="H88" s="71">
        <f t="shared" si="102"/>
        <v>2030.3224189405767</v>
      </c>
      <c r="I88" s="71">
        <f t="shared" si="103"/>
        <v>2478.233910280509</v>
      </c>
      <c r="J88" s="71">
        <f t="shared" si="104"/>
        <v>3244.7818421216925</v>
      </c>
      <c r="K88" s="71">
        <f t="shared" si="105"/>
        <v>4010.4300890884251</v>
      </c>
      <c r="L88" s="71">
        <f t="shared" si="106"/>
        <v>4510.4606155970368</v>
      </c>
      <c r="M88" s="71">
        <f t="shared" si="107"/>
        <v>4836.3903234406516</v>
      </c>
    </row>
    <row r="89" spans="1:13">
      <c r="A89" t="s">
        <v>66</v>
      </c>
      <c r="B89" s="63" t="s">
        <v>40</v>
      </c>
      <c r="C89" s="3" t="s">
        <v>53</v>
      </c>
      <c r="D89" s="71">
        <f t="shared" si="108"/>
        <v>0</v>
      </c>
      <c r="E89" s="71">
        <f t="shared" si="99"/>
        <v>0</v>
      </c>
      <c r="F89" s="71">
        <f t="shared" si="100"/>
        <v>0</v>
      </c>
      <c r="G89" s="71">
        <f t="shared" si="101"/>
        <v>0</v>
      </c>
      <c r="H89" s="71">
        <f t="shared" si="102"/>
        <v>5182.1243584249323</v>
      </c>
      <c r="I89" s="71">
        <f t="shared" si="103"/>
        <v>5232.874019896748</v>
      </c>
      <c r="J89" s="71">
        <f t="shared" si="104"/>
        <v>5232.8740198967462</v>
      </c>
      <c r="K89" s="71">
        <f t="shared" si="105"/>
        <v>5232.8740198967471</v>
      </c>
      <c r="L89" s="71">
        <f t="shared" si="106"/>
        <v>5232.874019896748</v>
      </c>
      <c r="M89" s="71">
        <f t="shared" si="107"/>
        <v>0</v>
      </c>
    </row>
    <row r="91" spans="1:13">
      <c r="A91" s="1" t="s">
        <v>60</v>
      </c>
      <c r="B91" s="1" t="s">
        <v>10</v>
      </c>
      <c r="C91" s="1" t="s">
        <v>11</v>
      </c>
      <c r="D91" s="227" t="s">
        <v>0</v>
      </c>
      <c r="E91" s="227" t="s">
        <v>1</v>
      </c>
      <c r="F91" s="227" t="s">
        <v>2</v>
      </c>
      <c r="G91" s="227" t="s">
        <v>3</v>
      </c>
      <c r="H91" s="227" t="s">
        <v>4</v>
      </c>
      <c r="I91" s="263" t="s">
        <v>5</v>
      </c>
      <c r="J91" s="227" t="s">
        <v>6</v>
      </c>
      <c r="K91" s="227" t="s">
        <v>7</v>
      </c>
      <c r="L91" s="227" t="s">
        <v>8</v>
      </c>
      <c r="M91" s="227" t="s">
        <v>9</v>
      </c>
    </row>
    <row r="92" spans="1:13">
      <c r="A92" t="s">
        <v>61</v>
      </c>
      <c r="B92" s="63" t="s">
        <v>40</v>
      </c>
      <c r="C92" s="3" t="s">
        <v>217</v>
      </c>
      <c r="D92" s="71">
        <f t="shared" ref="D92:H94" si="109">D82/F$8</f>
        <v>149.88166789606424</v>
      </c>
      <c r="E92" s="71">
        <f t="shared" si="109"/>
        <v>145.09957553583055</v>
      </c>
      <c r="F92" s="71">
        <f t="shared" si="109"/>
        <v>141.8266252777359</v>
      </c>
      <c r="G92" s="71">
        <f t="shared" si="109"/>
        <v>138.75430912007346</v>
      </c>
      <c r="H92" s="71">
        <f t="shared" si="109"/>
        <v>138.75430912007349</v>
      </c>
      <c r="I92" s="71"/>
      <c r="J92" s="71"/>
      <c r="K92" s="71"/>
      <c r="L92" s="71"/>
      <c r="M92" s="71"/>
    </row>
    <row r="93" spans="1:13">
      <c r="A93" t="s">
        <v>58</v>
      </c>
      <c r="B93" s="63" t="s">
        <v>40</v>
      </c>
      <c r="C93" s="3" t="s">
        <v>217</v>
      </c>
      <c r="D93" s="71">
        <f t="shared" si="109"/>
        <v>3959.2807733752029</v>
      </c>
      <c r="E93" s="71">
        <f t="shared" si="109"/>
        <v>2214.50071302284</v>
      </c>
      <c r="F93" s="71">
        <f t="shared" si="109"/>
        <v>2308.8890992172924</v>
      </c>
      <c r="G93" s="71">
        <f t="shared" si="109"/>
        <v>1985.2107425890792</v>
      </c>
      <c r="H93" s="71">
        <f t="shared" si="109"/>
        <v>1790.7665367163656</v>
      </c>
      <c r="I93" s="71"/>
      <c r="J93" s="71"/>
      <c r="K93" s="71"/>
      <c r="L93" s="71"/>
      <c r="M93" s="71"/>
    </row>
    <row r="94" spans="1:13">
      <c r="A94" t="s">
        <v>66</v>
      </c>
      <c r="B94" s="63" t="s">
        <v>40</v>
      </c>
      <c r="C94" s="3" t="s">
        <v>217</v>
      </c>
      <c r="D94" s="71">
        <f t="shared" si="109"/>
        <v>0</v>
      </c>
      <c r="E94" s="71">
        <f t="shared" si="109"/>
        <v>0</v>
      </c>
      <c r="F94" s="71">
        <f t="shared" si="109"/>
        <v>0</v>
      </c>
      <c r="G94" s="71">
        <f t="shared" si="109"/>
        <v>0</v>
      </c>
      <c r="H94" s="71">
        <f t="shared" si="109"/>
        <v>4570.6902527394786</v>
      </c>
      <c r="I94" s="71"/>
      <c r="J94" s="71"/>
      <c r="K94" s="71"/>
      <c r="L94" s="71"/>
      <c r="M94" s="71"/>
    </row>
    <row r="95" spans="1:13">
      <c r="C95" s="3"/>
      <c r="D95" s="71"/>
      <c r="E95" s="71"/>
      <c r="F95" s="71"/>
      <c r="G95" s="71"/>
      <c r="H95" s="71"/>
      <c r="I95" s="71"/>
      <c r="J95" s="71"/>
      <c r="K95" s="71"/>
      <c r="L95" s="71"/>
      <c r="M95" s="71"/>
    </row>
  </sheetData>
  <mergeCells count="42">
    <mergeCell ref="Z38:AD38"/>
    <mergeCell ref="AE38:AI38"/>
    <mergeCell ref="AK38:AO38"/>
    <mergeCell ref="AP38:AT38"/>
    <mergeCell ref="AK14:AO14"/>
    <mergeCell ref="AP14:AT14"/>
    <mergeCell ref="AK22:AO22"/>
    <mergeCell ref="AP22:AT22"/>
    <mergeCell ref="AK30:AO30"/>
    <mergeCell ref="AP30:AT30"/>
    <mergeCell ref="Z14:AD14"/>
    <mergeCell ref="AE14:AI14"/>
    <mergeCell ref="Z22:AD22"/>
    <mergeCell ref="AE22:AI22"/>
    <mergeCell ref="Z30:AD30"/>
    <mergeCell ref="AE30:AI30"/>
    <mergeCell ref="G38:H38"/>
    <mergeCell ref="G49:H49"/>
    <mergeCell ref="T14:X14"/>
    <mergeCell ref="T22:X22"/>
    <mergeCell ref="T30:X30"/>
    <mergeCell ref="T38:X38"/>
    <mergeCell ref="O14:S14"/>
    <mergeCell ref="O22:S22"/>
    <mergeCell ref="O30:S30"/>
    <mergeCell ref="O38:S38"/>
    <mergeCell ref="D75:F75"/>
    <mergeCell ref="I75:M75"/>
    <mergeCell ref="G75:H75"/>
    <mergeCell ref="I14:M14"/>
    <mergeCell ref="I22:M22"/>
    <mergeCell ref="I30:M30"/>
    <mergeCell ref="I38:M38"/>
    <mergeCell ref="I49:M49"/>
    <mergeCell ref="D14:F14"/>
    <mergeCell ref="D22:F22"/>
    <mergeCell ref="D30:F30"/>
    <mergeCell ref="D38:F38"/>
    <mergeCell ref="D49:F49"/>
    <mergeCell ref="G14:H14"/>
    <mergeCell ref="G22:H22"/>
    <mergeCell ref="G30:H30"/>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6" tint="0.59999389629810485"/>
    <pageSetUpPr fitToPage="1"/>
  </sheetPr>
  <dimension ref="A1:N71"/>
  <sheetViews>
    <sheetView topLeftCell="B3" zoomScaleNormal="100" workbookViewId="0">
      <pane xSplit="3" ySplit="9" topLeftCell="E25" activePane="bottomRight" state="frozen"/>
      <selection activeCell="B3" sqref="B3"/>
      <selection pane="topRight" activeCell="E3" sqref="E3"/>
      <selection pane="bottomLeft" activeCell="B12" sqref="B12"/>
      <selection pane="bottomRight" activeCell="J58" sqref="J58"/>
    </sheetView>
  </sheetViews>
  <sheetFormatPr defaultColWidth="9" defaultRowHeight="14.25"/>
  <cols>
    <col min="1" max="1" width="8.33203125" style="8" hidden="1" customWidth="1"/>
    <col min="2" max="2" width="56.6640625" style="8" customWidth="1"/>
    <col min="3" max="3" width="11.46484375" style="8" customWidth="1"/>
    <col min="4" max="4" width="13.6640625" style="8" customWidth="1"/>
    <col min="5" max="5" width="10.1328125" style="8" bestFit="1" customWidth="1"/>
    <col min="6" max="7" width="11.1328125" style="8" bestFit="1" customWidth="1"/>
    <col min="8" max="11" width="10.1328125" style="8" bestFit="1" customWidth="1"/>
    <col min="12" max="12" width="10.33203125" style="8" bestFit="1" customWidth="1"/>
    <col min="13" max="14" width="11.1328125" style="8" bestFit="1" customWidth="1"/>
    <col min="15" max="16384" width="9" style="8"/>
  </cols>
  <sheetData>
    <row r="1" spans="2:14" hidden="1"/>
    <row r="2" spans="2:14" hidden="1"/>
    <row r="6" spans="2:14" ht="23.65" thickBot="1">
      <c r="B6" s="11" t="s">
        <v>126</v>
      </c>
    </row>
    <row r="7" spans="2:14" ht="14.65" hidden="1" thickBot="1"/>
    <row r="8" spans="2:14" ht="14.65" hidden="1" thickBot="1"/>
    <row r="9" spans="2:14" ht="14.65" hidden="1" thickBot="1">
      <c r="B9" s="137"/>
      <c r="C9" s="137"/>
      <c r="D9" s="137"/>
      <c r="E9" s="137"/>
      <c r="F9" s="137"/>
      <c r="G9" s="137"/>
      <c r="H9" s="137"/>
      <c r="I9" s="137"/>
      <c r="J9" s="137"/>
      <c r="K9" s="137"/>
      <c r="L9" s="137"/>
      <c r="M9" s="137"/>
    </row>
    <row r="10" spans="2:14" ht="18">
      <c r="B10" s="138"/>
      <c r="C10" s="427" t="s">
        <v>10</v>
      </c>
      <c r="D10" s="427" t="s">
        <v>11</v>
      </c>
      <c r="E10" s="412" t="s">
        <v>127</v>
      </c>
      <c r="F10" s="412"/>
      <c r="G10" s="416"/>
      <c r="H10" s="411" t="s">
        <v>128</v>
      </c>
      <c r="I10" s="416"/>
      <c r="J10" s="412" t="s">
        <v>129</v>
      </c>
      <c r="K10" s="412"/>
      <c r="L10" s="412"/>
      <c r="M10" s="412"/>
      <c r="N10" s="413"/>
    </row>
    <row r="11" spans="2:14" ht="18.399999999999999" thickBot="1">
      <c r="B11" s="139" t="s">
        <v>28</v>
      </c>
      <c r="C11" s="428"/>
      <c r="D11" s="428"/>
      <c r="E11" s="140" t="s">
        <v>0</v>
      </c>
      <c r="F11" s="140" t="s">
        <v>1</v>
      </c>
      <c r="G11" s="140" t="s">
        <v>2</v>
      </c>
      <c r="H11" s="140" t="s">
        <v>3</v>
      </c>
      <c r="I11" s="141" t="s">
        <v>4</v>
      </c>
      <c r="J11" s="141" t="s">
        <v>5</v>
      </c>
      <c r="K11" s="141" t="s">
        <v>6</v>
      </c>
      <c r="L11" s="141" t="s">
        <v>7</v>
      </c>
      <c r="M11" s="141" t="s">
        <v>8</v>
      </c>
      <c r="N11" s="142" t="s">
        <v>9</v>
      </c>
    </row>
    <row r="12" spans="2:14">
      <c r="B12" s="143"/>
      <c r="C12" s="144"/>
      <c r="D12" s="144"/>
      <c r="E12" s="144"/>
      <c r="F12" s="144"/>
      <c r="G12" s="144"/>
      <c r="H12" s="144"/>
      <c r="I12" s="144"/>
      <c r="J12" s="144"/>
      <c r="K12" s="145"/>
      <c r="L12" s="144"/>
      <c r="M12" s="144"/>
      <c r="N12" s="146"/>
    </row>
    <row r="13" spans="2:14">
      <c r="B13" s="147" t="s">
        <v>130</v>
      </c>
      <c r="K13" s="148"/>
      <c r="N13" s="149"/>
    </row>
    <row r="14" spans="2:14">
      <c r="B14" s="150" t="s">
        <v>131</v>
      </c>
      <c r="C14" s="8" t="s">
        <v>21</v>
      </c>
      <c r="D14" s="8" t="s">
        <v>115</v>
      </c>
      <c r="E14" s="151">
        <v>13634.175999999999</v>
      </c>
      <c r="F14" s="151">
        <v>16264</v>
      </c>
      <c r="G14" s="151">
        <v>12015.007</v>
      </c>
      <c r="H14" s="152">
        <v>12492.734298215788</v>
      </c>
      <c r="I14" s="152">
        <v>12964.510203094054</v>
      </c>
      <c r="J14" s="152">
        <v>18119.117831004001</v>
      </c>
      <c r="K14" s="152">
        <v>18571.810547568002</v>
      </c>
      <c r="L14" s="152">
        <v>18999.273903364152</v>
      </c>
      <c r="M14" s="152">
        <v>19693.658976961808</v>
      </c>
      <c r="N14" s="153">
        <v>19407.1097295133</v>
      </c>
    </row>
    <row r="15" spans="2:14">
      <c r="B15" s="150" t="s">
        <v>132</v>
      </c>
      <c r="C15" s="8" t="s">
        <v>21</v>
      </c>
      <c r="D15" s="8" t="s">
        <v>115</v>
      </c>
      <c r="E15" s="151">
        <v>1821.80233</v>
      </c>
      <c r="F15" s="151">
        <v>2200</v>
      </c>
      <c r="G15" s="151">
        <v>1810.4670000000001</v>
      </c>
      <c r="H15" s="152">
        <v>3391.82</v>
      </c>
      <c r="I15" s="152">
        <v>2142.8756680044348</v>
      </c>
      <c r="J15" s="152">
        <v>454.81144299888462</v>
      </c>
      <c r="K15" s="152">
        <v>454.81144299888456</v>
      </c>
      <c r="L15" s="152">
        <v>454.81144299888456</v>
      </c>
      <c r="M15" s="152">
        <v>454.81144299888456</v>
      </c>
      <c r="N15" s="153">
        <v>311.81144299888456</v>
      </c>
    </row>
    <row r="16" spans="2:14">
      <c r="B16" s="150" t="s">
        <v>133</v>
      </c>
      <c r="C16" s="8" t="s">
        <v>21</v>
      </c>
      <c r="D16" s="8" t="s">
        <v>115</v>
      </c>
      <c r="E16" s="151">
        <v>77659.42078</v>
      </c>
      <c r="F16" s="151">
        <v>69368</v>
      </c>
      <c r="G16" s="151">
        <v>69189.706999999995</v>
      </c>
      <c r="H16" s="152">
        <v>106858.406</v>
      </c>
      <c r="I16" s="152">
        <v>82143.660128652235</v>
      </c>
      <c r="J16" s="152">
        <v>78265.457899999994</v>
      </c>
      <c r="K16" s="152">
        <v>88522.437299999991</v>
      </c>
      <c r="L16" s="152">
        <v>89972.842517651748</v>
      </c>
      <c r="M16" s="152">
        <v>90313.491609453398</v>
      </c>
      <c r="N16" s="153">
        <v>90596.457340743611</v>
      </c>
    </row>
    <row r="17" spans="2:14">
      <c r="B17" s="150"/>
      <c r="E17" s="154"/>
      <c r="F17" s="154"/>
      <c r="G17" s="154"/>
      <c r="H17" s="154"/>
      <c r="I17" s="154"/>
      <c r="J17" s="154"/>
      <c r="K17" s="154"/>
      <c r="L17" s="154"/>
      <c r="M17" s="154"/>
      <c r="N17" s="155"/>
    </row>
    <row r="18" spans="2:14" ht="14.65" thickBot="1">
      <c r="B18" s="156" t="s">
        <v>20</v>
      </c>
      <c r="C18" s="8" t="s">
        <v>21</v>
      </c>
      <c r="D18" s="8" t="s">
        <v>115</v>
      </c>
      <c r="E18" s="157">
        <f>SUM(E14:E16)</f>
        <v>93115.399109999998</v>
      </c>
      <c r="F18" s="157">
        <f t="shared" ref="F18:N18" si="0">SUM(F14:F16)</f>
        <v>87832</v>
      </c>
      <c r="G18" s="157">
        <f t="shared" si="0"/>
        <v>83015.180999999997</v>
      </c>
      <c r="H18" s="158">
        <f t="shared" si="0"/>
        <v>122742.9602982158</v>
      </c>
      <c r="I18" s="158">
        <f t="shared" si="0"/>
        <v>97251.045999750728</v>
      </c>
      <c r="J18" s="158">
        <f t="shared" si="0"/>
        <v>96839.387174002884</v>
      </c>
      <c r="K18" s="158">
        <f t="shared" si="0"/>
        <v>107549.05929056687</v>
      </c>
      <c r="L18" s="158">
        <f t="shared" si="0"/>
        <v>109426.92786401478</v>
      </c>
      <c r="M18" s="158">
        <f t="shared" si="0"/>
        <v>110461.96202941409</v>
      </c>
      <c r="N18" s="159">
        <f t="shared" si="0"/>
        <v>110315.3785132558</v>
      </c>
    </row>
    <row r="19" spans="2:14">
      <c r="B19" s="143"/>
      <c r="C19" s="144"/>
      <c r="D19" s="144"/>
      <c r="E19" s="144"/>
      <c r="F19" s="144"/>
      <c r="G19" s="144"/>
      <c r="H19" s="144"/>
      <c r="I19" s="144"/>
      <c r="J19" s="144"/>
      <c r="K19" s="144"/>
      <c r="L19" s="144"/>
      <c r="M19" s="144"/>
      <c r="N19" s="146"/>
    </row>
    <row r="20" spans="2:14">
      <c r="B20" s="147" t="s">
        <v>134</v>
      </c>
      <c r="N20" s="149"/>
    </row>
    <row r="21" spans="2:14">
      <c r="B21" s="150" t="s">
        <v>135</v>
      </c>
      <c r="C21" s="8" t="s">
        <v>21</v>
      </c>
      <c r="D21" s="8" t="s">
        <v>115</v>
      </c>
      <c r="E21" s="151">
        <v>4636.934561071841</v>
      </c>
      <c r="F21" s="151">
        <v>2117.3619388314773</v>
      </c>
      <c r="G21" s="151">
        <v>1667.7034933273478</v>
      </c>
      <c r="H21" s="152">
        <v>2567.8221741666707</v>
      </c>
      <c r="I21" s="152">
        <v>8219.2573016281876</v>
      </c>
      <c r="J21" s="152">
        <v>7903.5044621278912</v>
      </c>
      <c r="K21" s="152">
        <v>8704.948562209076</v>
      </c>
      <c r="L21" s="152">
        <v>9473.3172024252472</v>
      </c>
      <c r="M21" s="152">
        <v>9976.0844445427938</v>
      </c>
      <c r="N21" s="153">
        <v>5071.893268392254</v>
      </c>
    </row>
    <row r="22" spans="2:14">
      <c r="B22" s="160" t="s">
        <v>136</v>
      </c>
      <c r="C22" s="8" t="s">
        <v>21</v>
      </c>
      <c r="D22" s="8" t="s">
        <v>115</v>
      </c>
      <c r="E22" s="151">
        <v>0</v>
      </c>
      <c r="F22" s="151">
        <v>0</v>
      </c>
      <c r="G22" s="151">
        <v>0</v>
      </c>
      <c r="H22" s="152">
        <v>0</v>
      </c>
      <c r="I22" s="152">
        <v>0</v>
      </c>
      <c r="J22" s="152">
        <v>0</v>
      </c>
      <c r="K22" s="152">
        <v>0</v>
      </c>
      <c r="L22" s="152">
        <v>0</v>
      </c>
      <c r="M22" s="152">
        <v>0</v>
      </c>
      <c r="N22" s="153">
        <v>0</v>
      </c>
    </row>
    <row r="23" spans="2:14">
      <c r="B23" s="150" t="s">
        <v>118</v>
      </c>
      <c r="C23" s="8" t="s">
        <v>21</v>
      </c>
      <c r="D23" s="8" t="s">
        <v>115</v>
      </c>
      <c r="E23" s="151">
        <v>0</v>
      </c>
      <c r="F23" s="151">
        <v>0</v>
      </c>
      <c r="G23" s="151">
        <v>0</v>
      </c>
      <c r="H23" s="152">
        <v>0</v>
      </c>
      <c r="I23" s="152">
        <v>0</v>
      </c>
      <c r="J23" s="152">
        <v>0</v>
      </c>
      <c r="K23" s="152">
        <v>0</v>
      </c>
      <c r="L23" s="152">
        <v>0</v>
      </c>
      <c r="M23" s="152">
        <v>0</v>
      </c>
      <c r="N23" s="153">
        <v>0</v>
      </c>
    </row>
    <row r="24" spans="2:14">
      <c r="B24" s="150"/>
      <c r="E24" s="154"/>
      <c r="F24" s="154"/>
      <c r="G24" s="154"/>
      <c r="H24" s="154"/>
      <c r="I24" s="154"/>
      <c r="J24" s="154"/>
      <c r="K24" s="154"/>
      <c r="L24" s="154"/>
      <c r="M24" s="154"/>
      <c r="N24" s="155"/>
    </row>
    <row r="25" spans="2:14">
      <c r="B25" s="147" t="s">
        <v>20</v>
      </c>
      <c r="C25" s="8" t="s">
        <v>21</v>
      </c>
      <c r="D25" s="8" t="s">
        <v>115</v>
      </c>
      <c r="E25" s="161">
        <f t="shared" ref="E25:N25" si="1">SUM(E21:E22)</f>
        <v>4636.934561071841</v>
      </c>
      <c r="F25" s="161">
        <f t="shared" si="1"/>
        <v>2117.3619388314773</v>
      </c>
      <c r="G25" s="161">
        <f t="shared" si="1"/>
        <v>1667.7034933273478</v>
      </c>
      <c r="H25" s="162">
        <f t="shared" si="1"/>
        <v>2567.8221741666707</v>
      </c>
      <c r="I25" s="162">
        <f t="shared" si="1"/>
        <v>8219.2573016281876</v>
      </c>
      <c r="J25" s="162">
        <f t="shared" si="1"/>
        <v>7903.5044621278912</v>
      </c>
      <c r="K25" s="162">
        <f t="shared" si="1"/>
        <v>8704.948562209076</v>
      </c>
      <c r="L25" s="162">
        <f t="shared" si="1"/>
        <v>9473.3172024252472</v>
      </c>
      <c r="M25" s="162">
        <f t="shared" si="1"/>
        <v>9976.0844445427938</v>
      </c>
      <c r="N25" s="163">
        <f t="shared" si="1"/>
        <v>5071.893268392254</v>
      </c>
    </row>
    <row r="26" spans="2:14" ht="14.65" thickBot="1">
      <c r="B26" s="164"/>
      <c r="C26" s="165"/>
      <c r="D26" s="165"/>
      <c r="E26" s="165"/>
      <c r="F26" s="165"/>
      <c r="G26" s="165"/>
      <c r="H26" s="165"/>
      <c r="I26" s="165"/>
      <c r="J26" s="165"/>
      <c r="K26" s="165"/>
      <c r="L26" s="165"/>
      <c r="M26" s="165"/>
      <c r="N26" s="166"/>
    </row>
    <row r="27" spans="2:14">
      <c r="B27" s="143"/>
      <c r="C27" s="144"/>
      <c r="D27" s="144"/>
      <c r="E27" s="144"/>
      <c r="F27" s="144"/>
      <c r="G27" s="144"/>
      <c r="H27" s="144"/>
      <c r="I27" s="144"/>
      <c r="J27" s="144"/>
      <c r="K27" s="144"/>
      <c r="L27" s="144"/>
      <c r="M27" s="144"/>
      <c r="N27" s="146"/>
    </row>
    <row r="28" spans="2:14">
      <c r="B28" s="147" t="s">
        <v>137</v>
      </c>
      <c r="N28" s="149"/>
    </row>
    <row r="29" spans="2:14">
      <c r="B29" s="150" t="s">
        <v>138</v>
      </c>
      <c r="C29" s="8" t="s">
        <v>21</v>
      </c>
      <c r="D29" s="8" t="s">
        <v>115</v>
      </c>
      <c r="E29" s="151">
        <v>0</v>
      </c>
      <c r="F29" s="151">
        <v>0</v>
      </c>
      <c r="G29" s="151">
        <v>0</v>
      </c>
      <c r="H29" s="152">
        <v>0</v>
      </c>
      <c r="I29" s="152">
        <v>326.49628470864297</v>
      </c>
      <c r="J29" s="152">
        <v>0</v>
      </c>
      <c r="K29" s="152">
        <v>0</v>
      </c>
      <c r="L29" s="152">
        <v>0</v>
      </c>
      <c r="M29" s="152">
        <v>0</v>
      </c>
      <c r="N29" s="153">
        <v>0</v>
      </c>
    </row>
    <row r="30" spans="2:14">
      <c r="B30" s="150" t="s">
        <v>118</v>
      </c>
      <c r="C30" s="8" t="s">
        <v>21</v>
      </c>
      <c r="D30" s="8" t="s">
        <v>115</v>
      </c>
      <c r="E30" s="151">
        <v>0</v>
      </c>
      <c r="F30" s="151">
        <v>0</v>
      </c>
      <c r="G30" s="151">
        <v>0</v>
      </c>
      <c r="H30" s="152">
        <v>0</v>
      </c>
      <c r="I30" s="152">
        <v>0</v>
      </c>
      <c r="J30" s="152">
        <v>0</v>
      </c>
      <c r="K30" s="152">
        <v>0</v>
      </c>
      <c r="L30" s="152">
        <v>0</v>
      </c>
      <c r="M30" s="152">
        <v>0</v>
      </c>
      <c r="N30" s="153">
        <v>0</v>
      </c>
    </row>
    <row r="31" spans="2:14">
      <c r="B31" s="150"/>
      <c r="E31" s="154"/>
      <c r="F31" s="154"/>
      <c r="G31" s="154"/>
      <c r="H31" s="154"/>
      <c r="I31" s="154"/>
      <c r="J31" s="154"/>
      <c r="K31" s="154"/>
      <c r="L31" s="154"/>
      <c r="M31" s="154"/>
      <c r="N31" s="155"/>
    </row>
    <row r="32" spans="2:14">
      <c r="B32" s="147" t="s">
        <v>20</v>
      </c>
      <c r="C32" s="8" t="s">
        <v>21</v>
      </c>
      <c r="D32" s="8" t="s">
        <v>115</v>
      </c>
      <c r="E32" s="161">
        <f t="shared" ref="E32:N32" si="2">SUM(E29:E29)</f>
        <v>0</v>
      </c>
      <c r="F32" s="161">
        <f t="shared" si="2"/>
        <v>0</v>
      </c>
      <c r="G32" s="161">
        <f t="shared" si="2"/>
        <v>0</v>
      </c>
      <c r="H32" s="162">
        <f t="shared" si="2"/>
        <v>0</v>
      </c>
      <c r="I32" s="162">
        <f t="shared" si="2"/>
        <v>326.49628470864297</v>
      </c>
      <c r="J32" s="162">
        <f t="shared" si="2"/>
        <v>0</v>
      </c>
      <c r="K32" s="162">
        <f t="shared" si="2"/>
        <v>0</v>
      </c>
      <c r="L32" s="162">
        <f t="shared" si="2"/>
        <v>0</v>
      </c>
      <c r="M32" s="162">
        <f t="shared" si="2"/>
        <v>0</v>
      </c>
      <c r="N32" s="163">
        <f t="shared" si="2"/>
        <v>0</v>
      </c>
    </row>
    <row r="33" spans="1:14" ht="14.65" thickBot="1">
      <c r="B33" s="164"/>
      <c r="C33" s="165"/>
      <c r="D33" s="165"/>
      <c r="E33" s="165"/>
      <c r="F33" s="165"/>
      <c r="G33" s="165"/>
      <c r="H33" s="165"/>
      <c r="I33" s="165"/>
      <c r="J33" s="165"/>
      <c r="K33" s="165"/>
      <c r="L33" s="165"/>
      <c r="M33" s="165"/>
      <c r="N33" s="166"/>
    </row>
    <row r="34" spans="1:14">
      <c r="B34" s="150"/>
      <c r="N34" s="149"/>
    </row>
    <row r="35" spans="1:14">
      <c r="B35" s="147" t="s">
        <v>139</v>
      </c>
      <c r="N35" s="149"/>
    </row>
    <row r="36" spans="1:14">
      <c r="B36" s="150" t="s">
        <v>140</v>
      </c>
      <c r="C36" s="8" t="s">
        <v>21</v>
      </c>
      <c r="D36" s="8" t="s">
        <v>115</v>
      </c>
      <c r="E36" s="167">
        <v>500.08283908129772</v>
      </c>
      <c r="F36" s="167">
        <v>390.94915685085033</v>
      </c>
      <c r="G36" s="167">
        <v>353.82565533324521</v>
      </c>
      <c r="H36" s="168">
        <v>421.22779432598611</v>
      </c>
      <c r="I36" s="168">
        <v>2006.750330569158</v>
      </c>
      <c r="J36" s="168">
        <v>1466.6715069148522</v>
      </c>
      <c r="K36" s="168">
        <v>1435.1917585227709</v>
      </c>
      <c r="L36" s="168">
        <v>1256.8456197251207</v>
      </c>
      <c r="M36" s="168">
        <v>962.49195393763694</v>
      </c>
      <c r="N36" s="169">
        <v>756.3063594478308</v>
      </c>
    </row>
    <row r="37" spans="1:14">
      <c r="B37" s="150" t="s">
        <v>141</v>
      </c>
      <c r="C37" s="8" t="s">
        <v>21</v>
      </c>
      <c r="D37" s="8" t="s">
        <v>115</v>
      </c>
      <c r="E37" s="167"/>
      <c r="F37" s="167"/>
      <c r="G37" s="167"/>
      <c r="H37" s="168">
        <v>1234.2627848243988</v>
      </c>
      <c r="I37" s="168">
        <v>880.39408929658703</v>
      </c>
      <c r="J37" s="168">
        <v>735.16412105790505</v>
      </c>
      <c r="K37" s="168">
        <v>915.78378067328958</v>
      </c>
      <c r="L37" s="168">
        <v>1031.576396057905</v>
      </c>
      <c r="M37" s="168">
        <v>924.52513644252053</v>
      </c>
      <c r="N37" s="169">
        <v>604.07991144252048</v>
      </c>
    </row>
    <row r="38" spans="1:14">
      <c r="A38" s="170"/>
      <c r="B38" s="150" t="s">
        <v>124</v>
      </c>
      <c r="C38" s="8" t="s">
        <v>21</v>
      </c>
      <c r="D38" s="8" t="s">
        <v>115</v>
      </c>
      <c r="E38" s="167"/>
      <c r="F38" s="167"/>
      <c r="G38" s="167"/>
      <c r="H38" s="168">
        <v>180.34738359729496</v>
      </c>
      <c r="I38" s="168">
        <v>175</v>
      </c>
      <c r="J38" s="168">
        <v>168.20453671664743</v>
      </c>
      <c r="K38" s="168">
        <v>164.9064085457328</v>
      </c>
      <c r="L38" s="168">
        <v>161.67294955463998</v>
      </c>
      <c r="M38" s="168">
        <v>158.50289172023528</v>
      </c>
      <c r="N38" s="169">
        <v>155.39499188258358</v>
      </c>
    </row>
    <row r="39" spans="1:14">
      <c r="B39" s="150" t="s">
        <v>142</v>
      </c>
      <c r="C39" s="8" t="s">
        <v>21</v>
      </c>
      <c r="D39" s="8" t="s">
        <v>115</v>
      </c>
      <c r="E39" s="167"/>
      <c r="F39" s="167"/>
      <c r="G39" s="167"/>
      <c r="H39" s="168">
        <v>793.85200429197209</v>
      </c>
      <c r="I39" s="168">
        <v>724.16746433791536</v>
      </c>
      <c r="J39" s="168">
        <v>801.89974740000002</v>
      </c>
      <c r="K39" s="168">
        <v>863.4416238</v>
      </c>
      <c r="L39" s="168">
        <v>872.14405510591041</v>
      </c>
      <c r="M39" s="168">
        <v>874.18794965672043</v>
      </c>
      <c r="N39" s="169">
        <v>875.8857440444616</v>
      </c>
    </row>
    <row r="40" spans="1:14">
      <c r="B40" s="150" t="s">
        <v>143</v>
      </c>
      <c r="C40" s="8" t="s">
        <v>21</v>
      </c>
      <c r="D40" s="8" t="s">
        <v>115</v>
      </c>
      <c r="E40" s="167"/>
      <c r="F40" s="167"/>
      <c r="G40" s="167"/>
      <c r="H40" s="168">
        <v>247.86867422761048</v>
      </c>
      <c r="I40" s="168">
        <v>255.62397201366676</v>
      </c>
      <c r="J40" s="168">
        <v>220</v>
      </c>
      <c r="K40" s="168">
        <v>220</v>
      </c>
      <c r="L40" s="168">
        <v>220</v>
      </c>
      <c r="M40" s="168">
        <v>220</v>
      </c>
      <c r="N40" s="169">
        <v>220</v>
      </c>
    </row>
    <row r="41" spans="1:14">
      <c r="B41" s="150"/>
      <c r="E41" s="171"/>
      <c r="F41" s="171"/>
      <c r="G41" s="171"/>
      <c r="H41" s="171"/>
      <c r="I41" s="171"/>
      <c r="J41" s="171"/>
      <c r="K41" s="171"/>
      <c r="L41" s="171"/>
      <c r="M41" s="171"/>
      <c r="N41" s="172"/>
    </row>
    <row r="42" spans="1:14">
      <c r="A42" s="173"/>
      <c r="B42" s="147" t="s">
        <v>23</v>
      </c>
      <c r="C42" s="8" t="s">
        <v>21</v>
      </c>
      <c r="D42" s="8" t="s">
        <v>115</v>
      </c>
      <c r="E42" s="174">
        <f>SUM(E36:E40)</f>
        <v>500.08283908129772</v>
      </c>
      <c r="F42" s="174">
        <f t="shared" ref="F42:N42" si="3">SUM(F36:F40)</f>
        <v>390.94915685085033</v>
      </c>
      <c r="G42" s="174">
        <f t="shared" si="3"/>
        <v>353.82565533324521</v>
      </c>
      <c r="H42" s="175">
        <f t="shared" si="3"/>
        <v>2877.5586412672624</v>
      </c>
      <c r="I42" s="175">
        <f t="shared" si="3"/>
        <v>4041.935856217327</v>
      </c>
      <c r="J42" s="175">
        <f t="shared" si="3"/>
        <v>3391.939912089405</v>
      </c>
      <c r="K42" s="175">
        <f t="shared" si="3"/>
        <v>3599.3235715417936</v>
      </c>
      <c r="L42" s="175">
        <f t="shared" si="3"/>
        <v>3542.2390204435765</v>
      </c>
      <c r="M42" s="175">
        <f t="shared" si="3"/>
        <v>3139.7079317571133</v>
      </c>
      <c r="N42" s="176">
        <f t="shared" si="3"/>
        <v>2611.6670068173962</v>
      </c>
    </row>
    <row r="43" spans="1:14" ht="14.65" thickBot="1">
      <c r="A43" s="173"/>
      <c r="B43" s="164"/>
      <c r="C43" s="165"/>
      <c r="D43" s="165"/>
      <c r="E43" s="165"/>
      <c r="F43" s="165"/>
      <c r="G43" s="165"/>
      <c r="H43" s="165"/>
      <c r="I43" s="165"/>
      <c r="J43" s="165"/>
      <c r="K43" s="165"/>
      <c r="L43" s="165"/>
      <c r="M43" s="165"/>
      <c r="N43" s="166"/>
    </row>
    <row r="44" spans="1:14">
      <c r="A44" s="173"/>
      <c r="B44" s="150"/>
      <c r="N44" s="149"/>
    </row>
    <row r="45" spans="1:14">
      <c r="A45" s="173"/>
      <c r="B45" s="147" t="s">
        <v>144</v>
      </c>
      <c r="N45" s="149"/>
    </row>
    <row r="46" spans="1:14">
      <c r="A46" s="173"/>
      <c r="B46" s="150" t="s">
        <v>145</v>
      </c>
      <c r="C46" s="8" t="s">
        <v>21</v>
      </c>
      <c r="D46" s="8" t="s">
        <v>115</v>
      </c>
      <c r="E46" s="177"/>
      <c r="F46" s="177"/>
      <c r="G46" s="177"/>
      <c r="H46" s="178"/>
      <c r="I46" s="178"/>
      <c r="J46" s="178"/>
      <c r="K46" s="178"/>
      <c r="L46" s="178"/>
      <c r="M46" s="178"/>
      <c r="N46" s="179"/>
    </row>
    <row r="47" spans="1:14">
      <c r="A47" s="173"/>
      <c r="B47" s="150" t="s">
        <v>146</v>
      </c>
      <c r="C47" s="8" t="s">
        <v>21</v>
      </c>
      <c r="D47" s="8" t="s">
        <v>115</v>
      </c>
      <c r="E47" s="177"/>
      <c r="F47" s="177"/>
      <c r="G47" s="177"/>
      <c r="H47" s="178"/>
      <c r="I47" s="178"/>
      <c r="J47" s="178"/>
      <c r="K47" s="178"/>
      <c r="L47" s="178"/>
      <c r="M47" s="178"/>
      <c r="N47" s="179"/>
    </row>
    <row r="48" spans="1:14">
      <c r="A48" s="173"/>
      <c r="B48" s="150" t="s">
        <v>147</v>
      </c>
      <c r="C48" s="8" t="s">
        <v>21</v>
      </c>
      <c r="D48" s="8" t="s">
        <v>115</v>
      </c>
      <c r="E48" s="167">
        <v>457.08</v>
      </c>
      <c r="F48" s="167">
        <v>125.152</v>
      </c>
      <c r="G48" s="167">
        <v>35.264000000000003</v>
      </c>
      <c r="H48" s="168">
        <v>101.367</v>
      </c>
      <c r="I48" s="168">
        <v>0</v>
      </c>
      <c r="J48" s="178"/>
      <c r="K48" s="178"/>
      <c r="L48" s="178"/>
      <c r="M48" s="178"/>
      <c r="N48" s="179"/>
    </row>
    <row r="49" spans="1:14">
      <c r="A49" s="173"/>
      <c r="B49" s="150" t="s">
        <v>148</v>
      </c>
      <c r="C49" s="8" t="s">
        <v>21</v>
      </c>
      <c r="D49" s="8" t="s">
        <v>115</v>
      </c>
      <c r="E49" s="167">
        <v>-5007.08</v>
      </c>
      <c r="F49" s="167">
        <v>394</v>
      </c>
      <c r="G49" s="167">
        <v>40</v>
      </c>
      <c r="H49" s="168">
        <v>-564.34160898149071</v>
      </c>
      <c r="I49" s="168">
        <v>-5696.0396889283302</v>
      </c>
      <c r="J49" s="168">
        <v>-16500</v>
      </c>
      <c r="K49" s="178"/>
      <c r="L49" s="178"/>
      <c r="M49" s="178"/>
      <c r="N49" s="179"/>
    </row>
    <row r="50" spans="1:14">
      <c r="A50" s="173"/>
      <c r="B50" s="150" t="s">
        <v>149</v>
      </c>
      <c r="C50" s="8" t="s">
        <v>21</v>
      </c>
      <c r="D50" s="8" t="s">
        <v>115</v>
      </c>
      <c r="E50" s="177"/>
      <c r="F50" s="177"/>
      <c r="G50" s="177"/>
      <c r="H50" s="168">
        <v>-2025.3747691259982</v>
      </c>
      <c r="I50" s="168">
        <v>-2655.8556572461539</v>
      </c>
      <c r="J50" s="178"/>
      <c r="K50" s="178"/>
      <c r="L50" s="178"/>
      <c r="M50" s="178"/>
      <c r="N50" s="179"/>
    </row>
    <row r="51" spans="1:14">
      <c r="A51" s="173"/>
      <c r="B51" s="150"/>
      <c r="E51" s="171"/>
      <c r="F51" s="171"/>
      <c r="G51" s="171"/>
      <c r="H51" s="171"/>
      <c r="I51" s="171"/>
      <c r="J51" s="171"/>
      <c r="K51" s="171"/>
      <c r="L51" s="171"/>
      <c r="M51" s="171"/>
      <c r="N51" s="172"/>
    </row>
    <row r="52" spans="1:14">
      <c r="A52" s="173"/>
      <c r="B52" s="147" t="s">
        <v>23</v>
      </c>
      <c r="C52" s="8" t="s">
        <v>21</v>
      </c>
      <c r="D52" s="8" t="s">
        <v>115</v>
      </c>
      <c r="E52" s="174">
        <f t="shared" ref="E52:N52" si="4">SUM(E46:E50)</f>
        <v>-4550</v>
      </c>
      <c r="F52" s="174">
        <f t="shared" si="4"/>
        <v>519.15200000000004</v>
      </c>
      <c r="G52" s="174">
        <f t="shared" si="4"/>
        <v>75.26400000000001</v>
      </c>
      <c r="H52" s="175">
        <f t="shared" si="4"/>
        <v>-2488.349378107489</v>
      </c>
      <c r="I52" s="175">
        <f t="shared" si="4"/>
        <v>-8351.8953461744841</v>
      </c>
      <c r="J52" s="175">
        <f t="shared" si="4"/>
        <v>-16500</v>
      </c>
      <c r="K52" s="175">
        <f t="shared" si="4"/>
        <v>0</v>
      </c>
      <c r="L52" s="175">
        <f t="shared" si="4"/>
        <v>0</v>
      </c>
      <c r="M52" s="175">
        <f t="shared" si="4"/>
        <v>0</v>
      </c>
      <c r="N52" s="176">
        <f t="shared" si="4"/>
        <v>0</v>
      </c>
    </row>
    <row r="53" spans="1:14" ht="14.65" thickBot="1">
      <c r="A53" s="173"/>
      <c r="B53" s="164"/>
      <c r="C53" s="165"/>
      <c r="D53" s="165"/>
      <c r="E53" s="165"/>
      <c r="F53" s="165"/>
      <c r="G53" s="165"/>
      <c r="H53" s="165"/>
      <c r="I53" s="165"/>
      <c r="J53" s="165"/>
      <c r="K53" s="165"/>
      <c r="L53" s="165"/>
      <c r="M53" s="165"/>
      <c r="N53" s="166"/>
    </row>
    <row r="54" spans="1:14">
      <c r="A54" s="173"/>
      <c r="B54" s="180"/>
      <c r="C54" s="181"/>
      <c r="D54" s="181"/>
      <c r="E54" s="181"/>
      <c r="F54" s="181"/>
      <c r="G54" s="181"/>
      <c r="H54" s="181"/>
      <c r="I54" s="181"/>
      <c r="J54" s="181"/>
      <c r="K54" s="181"/>
      <c r="L54" s="181"/>
      <c r="M54" s="181"/>
      <c r="N54" s="149"/>
    </row>
    <row r="55" spans="1:14">
      <c r="A55" s="173"/>
      <c r="B55" s="147" t="s">
        <v>150</v>
      </c>
      <c r="C55" s="8" t="s">
        <v>21</v>
      </c>
      <c r="D55" s="8" t="s">
        <v>115</v>
      </c>
      <c r="E55" s="174">
        <f t="shared" ref="E55:N55" si="5">E18+E25+E42+E52</f>
        <v>93702.41651015314</v>
      </c>
      <c r="F55" s="174">
        <f t="shared" si="5"/>
        <v>90859.463095682338</v>
      </c>
      <c r="G55" s="174">
        <f t="shared" si="5"/>
        <v>85111.974148660593</v>
      </c>
      <c r="H55" s="175">
        <f t="shared" si="5"/>
        <v>125699.99173554222</v>
      </c>
      <c r="I55" s="175">
        <f t="shared" si="5"/>
        <v>101160.34381142176</v>
      </c>
      <c r="J55" s="175">
        <f t="shared" si="5"/>
        <v>91634.831548220187</v>
      </c>
      <c r="K55" s="175">
        <f t="shared" si="5"/>
        <v>119853.33142431774</v>
      </c>
      <c r="L55" s="175">
        <f t="shared" si="5"/>
        <v>122442.4840868836</v>
      </c>
      <c r="M55" s="175">
        <f t="shared" si="5"/>
        <v>123577.754405714</v>
      </c>
      <c r="N55" s="176">
        <f t="shared" si="5"/>
        <v>117998.93878846544</v>
      </c>
    </row>
    <row r="56" spans="1:14">
      <c r="A56" s="173"/>
      <c r="B56" s="150"/>
      <c r="C56" s="181"/>
      <c r="D56" s="181"/>
      <c r="E56" s="181"/>
      <c r="F56" s="181"/>
      <c r="G56" s="181"/>
      <c r="H56" s="181"/>
      <c r="I56" s="181"/>
      <c r="J56" s="181"/>
      <c r="K56" s="181"/>
      <c r="L56" s="181"/>
      <c r="M56" s="181"/>
      <c r="N56" s="149"/>
    </row>
    <row r="57" spans="1:14">
      <c r="A57" s="173"/>
      <c r="B57" s="147" t="s">
        <v>151</v>
      </c>
      <c r="C57" s="181"/>
      <c r="D57" s="181"/>
      <c r="E57" s="181"/>
      <c r="F57" s="181"/>
      <c r="G57" s="181"/>
      <c r="H57" s="181"/>
      <c r="I57" s="181"/>
      <c r="J57" s="181"/>
      <c r="K57" s="181"/>
      <c r="L57" s="181"/>
      <c r="M57" s="181"/>
      <c r="N57" s="149"/>
    </row>
    <row r="58" spans="1:14">
      <c r="A58" s="173"/>
      <c r="B58" s="150" t="s">
        <v>152</v>
      </c>
      <c r="C58" s="8" t="s">
        <v>21</v>
      </c>
      <c r="D58" s="8" t="s">
        <v>115</v>
      </c>
      <c r="E58" s="167">
        <v>36763.5458</v>
      </c>
      <c r="F58" s="167">
        <v>48733</v>
      </c>
      <c r="G58" s="167">
        <v>36901.828000000001</v>
      </c>
      <c r="H58" s="168">
        <v>43979</v>
      </c>
      <c r="I58" s="168">
        <v>45302.616000000002</v>
      </c>
      <c r="J58" s="168">
        <v>39550</v>
      </c>
      <c r="K58" s="168">
        <v>40049.999999999993</v>
      </c>
      <c r="L58" s="168">
        <v>40249.999999999993</v>
      </c>
      <c r="M58" s="168">
        <v>40300</v>
      </c>
      <c r="N58" s="169">
        <v>40300</v>
      </c>
    </row>
    <row r="59" spans="1:14">
      <c r="A59" s="173"/>
      <c r="B59" s="150" t="s">
        <v>153</v>
      </c>
      <c r="C59" s="8" t="s">
        <v>21</v>
      </c>
      <c r="D59" s="8" t="s">
        <v>115</v>
      </c>
      <c r="E59" s="167">
        <v>33694.693959999997</v>
      </c>
      <c r="F59" s="167">
        <v>30108</v>
      </c>
      <c r="G59" s="167">
        <v>48210</v>
      </c>
      <c r="H59" s="168">
        <v>81721</v>
      </c>
      <c r="I59" s="168">
        <v>55858</v>
      </c>
      <c r="J59" s="168">
        <v>52084.831548220187</v>
      </c>
      <c r="K59" s="168">
        <v>79803.331424317759</v>
      </c>
      <c r="L59" s="168">
        <v>82192.484086883604</v>
      </c>
      <c r="M59" s="168">
        <v>83277.754405714004</v>
      </c>
      <c r="N59" s="169">
        <v>77698.938788465442</v>
      </c>
    </row>
    <row r="60" spans="1:14">
      <c r="A60" s="173"/>
      <c r="B60" s="150" t="s">
        <v>154</v>
      </c>
      <c r="C60" s="8" t="s">
        <v>21</v>
      </c>
      <c r="D60" s="8" t="s">
        <v>115</v>
      </c>
      <c r="E60" s="167">
        <v>23244.420740000001</v>
      </c>
      <c r="F60" s="167">
        <v>12018</v>
      </c>
      <c r="G60" s="167">
        <v>0</v>
      </c>
      <c r="H60" s="168">
        <v>0</v>
      </c>
      <c r="I60" s="168">
        <v>0</v>
      </c>
      <c r="J60" s="168">
        <v>0</v>
      </c>
      <c r="K60" s="168">
        <v>0</v>
      </c>
      <c r="L60" s="168">
        <v>0</v>
      </c>
      <c r="M60" s="168">
        <v>0</v>
      </c>
      <c r="N60" s="169">
        <v>0</v>
      </c>
    </row>
    <row r="61" spans="1:14">
      <c r="A61" s="173"/>
      <c r="B61" s="150"/>
      <c r="N61" s="149"/>
    </row>
    <row r="62" spans="1:14">
      <c r="B62" s="150" t="s">
        <v>155</v>
      </c>
      <c r="C62" s="181"/>
      <c r="D62" s="181"/>
      <c r="E62" s="182">
        <f>E55-SUM(E58:E60)</f>
        <v>-0.24398984685831238</v>
      </c>
      <c r="F62" s="182">
        <f t="shared" ref="F62:N62" si="6">F55-SUM(F58:F60)</f>
        <v>0.46309568233846221</v>
      </c>
      <c r="G62" s="182">
        <f t="shared" si="6"/>
        <v>0.14614866058400366</v>
      </c>
      <c r="H62" s="182">
        <f t="shared" si="6"/>
        <v>-8.2644577778410167E-3</v>
      </c>
      <c r="I62" s="182">
        <f>I55-SUM(I58:I60)</f>
        <v>-0.27218857825209852</v>
      </c>
      <c r="J62" s="182">
        <f t="shared" si="6"/>
        <v>0</v>
      </c>
      <c r="K62" s="182">
        <f t="shared" si="6"/>
        <v>0</v>
      </c>
      <c r="L62" s="182">
        <f t="shared" si="6"/>
        <v>0</v>
      </c>
      <c r="M62" s="182">
        <f t="shared" si="6"/>
        <v>0</v>
      </c>
      <c r="N62" s="183">
        <f t="shared" si="6"/>
        <v>0</v>
      </c>
    </row>
    <row r="63" spans="1:14" ht="14.65" thickBot="1">
      <c r="B63" s="180"/>
      <c r="C63" s="181"/>
      <c r="D63" s="181"/>
      <c r="E63" s="181"/>
      <c r="F63" s="181"/>
      <c r="G63" s="181"/>
      <c r="H63" s="181"/>
      <c r="I63" s="181"/>
      <c r="J63" s="181"/>
      <c r="K63" s="181"/>
      <c r="L63" s="181"/>
      <c r="M63" s="181"/>
      <c r="N63" s="149"/>
    </row>
    <row r="64" spans="1:14">
      <c r="B64" s="143"/>
      <c r="C64" s="144"/>
      <c r="D64" s="144"/>
      <c r="E64" s="144"/>
      <c r="F64" s="144"/>
      <c r="G64" s="144"/>
      <c r="H64" s="144"/>
      <c r="I64" s="144"/>
      <c r="J64" s="144"/>
      <c r="K64" s="144"/>
      <c r="L64" s="144"/>
      <c r="M64" s="144"/>
      <c r="N64" s="146"/>
    </row>
    <row r="65" spans="2:14">
      <c r="B65" s="147" t="s">
        <v>156</v>
      </c>
      <c r="N65" s="149"/>
    </row>
    <row r="66" spans="2:14">
      <c r="B66" s="150" t="s">
        <v>131</v>
      </c>
      <c r="C66" s="8" t="s">
        <v>21</v>
      </c>
      <c r="D66" s="8" t="s">
        <v>115</v>
      </c>
      <c r="E66" s="151">
        <v>3931.6373767176738</v>
      </c>
      <c r="F66" s="151">
        <v>820.1093433333333</v>
      </c>
      <c r="G66" s="151">
        <v>1334.3288029317127</v>
      </c>
      <c r="H66" s="184">
        <v>825.09922000000006</v>
      </c>
      <c r="I66" s="184">
        <v>2606.0504123199494</v>
      </c>
      <c r="J66" s="184">
        <v>8398.2539419351087</v>
      </c>
      <c r="K66" s="184">
        <v>6963.476373804574</v>
      </c>
      <c r="L66" s="184">
        <v>4151.5759731010239</v>
      </c>
      <c r="M66" s="184">
        <v>3640.2547515904371</v>
      </c>
      <c r="N66" s="185">
        <v>3241.9568429364394</v>
      </c>
    </row>
    <row r="67" spans="2:14">
      <c r="B67" s="150" t="s">
        <v>132</v>
      </c>
      <c r="C67" s="8" t="s">
        <v>21</v>
      </c>
      <c r="D67" s="8" t="s">
        <v>115</v>
      </c>
      <c r="E67" s="151">
        <v>0</v>
      </c>
      <c r="F67" s="151">
        <v>0</v>
      </c>
      <c r="G67" s="151">
        <v>0</v>
      </c>
      <c r="H67" s="184">
        <v>0</v>
      </c>
      <c r="I67" s="184">
        <v>25758.172288610051</v>
      </c>
      <c r="J67" s="184">
        <v>0</v>
      </c>
      <c r="K67" s="184">
        <v>0</v>
      </c>
      <c r="L67" s="184">
        <v>0</v>
      </c>
      <c r="M67" s="184">
        <v>0</v>
      </c>
      <c r="N67" s="185">
        <v>0</v>
      </c>
    </row>
    <row r="68" spans="2:14">
      <c r="B68" s="150" t="s">
        <v>133</v>
      </c>
      <c r="C68" s="8" t="s">
        <v>21</v>
      </c>
      <c r="D68" s="8" t="s">
        <v>115</v>
      </c>
      <c r="E68" s="151">
        <v>0</v>
      </c>
      <c r="F68" s="151">
        <v>0</v>
      </c>
      <c r="G68" s="151">
        <v>0</v>
      </c>
      <c r="H68" s="184">
        <v>0</v>
      </c>
      <c r="I68" s="184">
        <v>0</v>
      </c>
      <c r="J68" s="184">
        <v>0</v>
      </c>
      <c r="K68" s="184">
        <v>0</v>
      </c>
      <c r="L68" s="184">
        <v>0</v>
      </c>
      <c r="M68" s="184">
        <v>0</v>
      </c>
      <c r="N68" s="185">
        <v>0</v>
      </c>
    </row>
    <row r="69" spans="2:14">
      <c r="B69" s="150"/>
      <c r="E69" s="154"/>
      <c r="F69" s="154"/>
      <c r="G69" s="154"/>
      <c r="H69" s="154"/>
      <c r="I69" s="154"/>
      <c r="J69" s="154"/>
      <c r="K69" s="154"/>
      <c r="L69" s="154"/>
      <c r="M69" s="154"/>
      <c r="N69" s="155"/>
    </row>
    <row r="70" spans="2:14">
      <c r="B70" s="147" t="s">
        <v>23</v>
      </c>
      <c r="C70" s="8" t="s">
        <v>21</v>
      </c>
      <c r="D70" s="8" t="s">
        <v>115</v>
      </c>
      <c r="E70" s="174">
        <f>SUM(E64:E68)</f>
        <v>3931.6373767176738</v>
      </c>
      <c r="F70" s="174">
        <f t="shared" ref="F70:N70" si="7">SUM(F64:F68)</f>
        <v>820.1093433333333</v>
      </c>
      <c r="G70" s="174">
        <f t="shared" si="7"/>
        <v>1334.3288029317127</v>
      </c>
      <c r="H70" s="175">
        <f t="shared" si="7"/>
        <v>825.09922000000006</v>
      </c>
      <c r="I70" s="175">
        <f t="shared" si="7"/>
        <v>28364.22270093</v>
      </c>
      <c r="J70" s="175">
        <f t="shared" si="7"/>
        <v>8398.2539419351087</v>
      </c>
      <c r="K70" s="175">
        <f t="shared" si="7"/>
        <v>6963.476373804574</v>
      </c>
      <c r="L70" s="175">
        <f t="shared" si="7"/>
        <v>4151.5759731010239</v>
      </c>
      <c r="M70" s="175">
        <f t="shared" si="7"/>
        <v>3640.2547515904371</v>
      </c>
      <c r="N70" s="176">
        <f t="shared" si="7"/>
        <v>3241.9568429364394</v>
      </c>
    </row>
    <row r="71" spans="2:14" ht="14.65" thickBot="1">
      <c r="B71" s="164"/>
      <c r="C71" s="165"/>
      <c r="D71" s="165"/>
      <c r="E71" s="165"/>
      <c r="F71" s="165"/>
      <c r="G71" s="165"/>
      <c r="H71" s="165"/>
      <c r="I71" s="165"/>
      <c r="J71" s="165"/>
      <c r="K71" s="165"/>
      <c r="L71" s="165"/>
      <c r="M71" s="165"/>
      <c r="N71" s="166"/>
    </row>
  </sheetData>
  <mergeCells count="5">
    <mergeCell ref="C10:C11"/>
    <mergeCell ref="D10:D11"/>
    <mergeCell ref="E10:G10"/>
    <mergeCell ref="H10:I10"/>
    <mergeCell ref="J10:N10"/>
  </mergeCells>
  <pageMargins left="0.70866141732283472" right="0.70866141732283472" top="0.74803149606299213" bottom="0.74803149606299213" header="0.31496062992125984" footer="0.31496062992125984"/>
  <pageSetup paperSize="9" scale="69" fitToHeight="2"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6" tint="0.59999389629810485"/>
  </sheetPr>
  <dimension ref="A1:O49"/>
  <sheetViews>
    <sheetView showGridLines="0" topLeftCell="B2" zoomScaleNormal="100" workbookViewId="0">
      <pane xSplit="4" ySplit="8" topLeftCell="J22" activePane="bottomRight" state="frozen"/>
      <selection activeCell="B2" sqref="B2"/>
      <selection pane="topRight" activeCell="F2" sqref="F2"/>
      <selection pane="bottomLeft" activeCell="B10" sqref="B10"/>
      <selection pane="bottomRight" activeCell="K49" sqref="K49"/>
    </sheetView>
  </sheetViews>
  <sheetFormatPr defaultColWidth="10.6640625" defaultRowHeight="14.25"/>
  <cols>
    <col min="1" max="1" width="0" style="10" hidden="1" customWidth="1"/>
    <col min="2" max="2" width="25" style="10" customWidth="1"/>
    <col min="3" max="3" width="61.1328125" style="10" customWidth="1"/>
    <col min="4" max="4" width="8.6640625" style="10" customWidth="1"/>
    <col min="5" max="5" width="14.1328125" style="10" customWidth="1"/>
    <col min="6" max="16384" width="10.6640625" style="10"/>
  </cols>
  <sheetData>
    <row r="1" spans="1:15" hidden="1">
      <c r="A1" s="7"/>
      <c r="B1" s="8"/>
      <c r="C1" s="9"/>
      <c r="D1" s="9"/>
      <c r="E1" s="9"/>
      <c r="F1" s="8"/>
      <c r="G1" s="8"/>
      <c r="H1" s="7"/>
      <c r="I1" s="7"/>
    </row>
    <row r="2" spans="1:15">
      <c r="A2" s="7"/>
      <c r="B2" s="8"/>
      <c r="C2" s="9"/>
      <c r="D2" s="9"/>
      <c r="E2" s="9"/>
      <c r="F2" s="8"/>
      <c r="G2" s="8"/>
      <c r="H2" s="8"/>
      <c r="I2" s="8"/>
      <c r="J2" s="8"/>
      <c r="K2" s="8"/>
      <c r="L2" s="8"/>
      <c r="M2" s="8"/>
      <c r="N2" s="8"/>
      <c r="O2" s="8"/>
    </row>
    <row r="3" spans="1:15">
      <c r="A3" s="7"/>
      <c r="B3" s="8"/>
      <c r="C3" s="9"/>
      <c r="D3" s="9"/>
      <c r="E3" s="9"/>
      <c r="F3" s="8"/>
      <c r="G3" s="8"/>
      <c r="H3" s="7"/>
      <c r="I3" s="7"/>
    </row>
    <row r="4" spans="1:15">
      <c r="A4" s="7"/>
      <c r="B4" s="8"/>
      <c r="C4" s="9"/>
      <c r="D4" s="9"/>
      <c r="E4" s="9"/>
      <c r="F4" s="8"/>
      <c r="G4" s="8"/>
      <c r="H4" s="7"/>
      <c r="I4" s="7"/>
    </row>
    <row r="5" spans="1:15">
      <c r="A5" s="7"/>
      <c r="B5" s="8"/>
      <c r="C5" s="9"/>
      <c r="D5" s="9"/>
      <c r="E5" s="9"/>
      <c r="F5" s="8"/>
      <c r="G5" s="8"/>
      <c r="H5" s="7"/>
      <c r="I5" s="7"/>
    </row>
    <row r="6" spans="1:15" ht="23.25">
      <c r="A6" s="7"/>
      <c r="B6" s="11" t="s">
        <v>91</v>
      </c>
      <c r="C6" s="9"/>
      <c r="D6" s="9"/>
      <c r="E6" s="9"/>
      <c r="F6" s="8"/>
      <c r="G6" s="8"/>
      <c r="H6" s="7"/>
      <c r="I6" s="7"/>
    </row>
    <row r="7" spans="1:15" hidden="1"/>
    <row r="8" spans="1:15">
      <c r="B8" s="431"/>
      <c r="C8" s="431" t="s">
        <v>28</v>
      </c>
      <c r="D8" s="12" t="s">
        <v>10</v>
      </c>
      <c r="E8" s="12" t="s">
        <v>11</v>
      </c>
      <c r="F8" s="433" t="s">
        <v>92</v>
      </c>
      <c r="G8" s="434"/>
      <c r="H8" s="434"/>
      <c r="I8" s="434"/>
      <c r="J8" s="435"/>
      <c r="K8" s="436" t="s">
        <v>31</v>
      </c>
      <c r="L8" s="436"/>
      <c r="M8" s="436"/>
      <c r="N8" s="436"/>
      <c r="O8" s="436"/>
    </row>
    <row r="9" spans="1:15" ht="18" customHeight="1">
      <c r="B9" s="432"/>
      <c r="C9" s="432" t="s">
        <v>27</v>
      </c>
      <c r="D9" s="75"/>
      <c r="E9" s="75"/>
      <c r="F9" s="76" t="s">
        <v>0</v>
      </c>
      <c r="G9" s="77" t="s">
        <v>1</v>
      </c>
      <c r="H9" s="77" t="s">
        <v>2</v>
      </c>
      <c r="I9" s="77" t="s">
        <v>3</v>
      </c>
      <c r="J9" s="77" t="s">
        <v>4</v>
      </c>
      <c r="K9" s="77" t="s">
        <v>5</v>
      </c>
      <c r="L9" s="77" t="s">
        <v>6</v>
      </c>
      <c r="M9" s="77" t="s">
        <v>7</v>
      </c>
      <c r="N9" s="77" t="s">
        <v>8</v>
      </c>
      <c r="O9" s="78" t="s">
        <v>9</v>
      </c>
    </row>
    <row r="10" spans="1:15" ht="15" customHeight="1">
      <c r="B10" s="437" t="s">
        <v>93</v>
      </c>
      <c r="C10" s="79"/>
      <c r="D10" s="79"/>
      <c r="E10" s="79"/>
      <c r="F10" s="80"/>
      <c r="G10" s="81"/>
      <c r="H10" s="81"/>
      <c r="I10" s="81"/>
      <c r="J10" s="81"/>
      <c r="K10" s="81"/>
      <c r="L10" s="81"/>
      <c r="M10" s="81"/>
      <c r="N10" s="81"/>
      <c r="O10" s="82"/>
    </row>
    <row r="11" spans="1:15" ht="15" customHeight="1">
      <c r="B11" s="438"/>
      <c r="C11" s="83" t="s">
        <v>67</v>
      </c>
      <c r="D11" s="83" t="s">
        <v>12</v>
      </c>
      <c r="E11" s="83"/>
      <c r="F11" s="84">
        <v>0.55000000000000004</v>
      </c>
      <c r="G11" s="85">
        <v>0.55000000000000004</v>
      </c>
      <c r="H11" s="85">
        <v>0.55000000000000004</v>
      </c>
      <c r="I11" s="86">
        <v>0.55000000000000004</v>
      </c>
      <c r="J11" s="86">
        <v>0.55000000000000004</v>
      </c>
      <c r="K11" s="86">
        <v>0.55000000000000004</v>
      </c>
      <c r="L11" s="86">
        <v>0.55000000000000004</v>
      </c>
      <c r="M11" s="86">
        <v>0.55000000000000004</v>
      </c>
      <c r="N11" s="86">
        <v>0.55000000000000004</v>
      </c>
      <c r="O11" s="87">
        <v>0.55000000000000004</v>
      </c>
    </row>
    <row r="12" spans="1:15" ht="15" customHeight="1">
      <c r="B12" s="438"/>
      <c r="C12" s="83" t="s">
        <v>94</v>
      </c>
      <c r="D12" s="83" t="s">
        <v>12</v>
      </c>
      <c r="E12" s="83"/>
      <c r="F12" s="88">
        <v>1.2500000000000001E-2</v>
      </c>
      <c r="G12" s="89">
        <v>1.2500000000000001E-2</v>
      </c>
      <c r="H12" s="89">
        <v>1.2500000000000001E-2</v>
      </c>
      <c r="I12" s="90">
        <v>1.2500000000000001E-2</v>
      </c>
      <c r="J12" s="90">
        <v>1.2500000000000001E-2</v>
      </c>
      <c r="K12" s="91">
        <v>-6.0000000000000001E-3</v>
      </c>
      <c r="L12" s="91">
        <v>-6.0000000000000001E-3</v>
      </c>
      <c r="M12" s="91">
        <v>-6.0000000000000001E-3</v>
      </c>
      <c r="N12" s="91">
        <v>-6.0000000000000001E-3</v>
      </c>
      <c r="O12" s="92">
        <v>-6.0000000000000001E-3</v>
      </c>
    </row>
    <row r="13" spans="1:15" ht="15" customHeight="1">
      <c r="B13" s="438"/>
      <c r="C13" s="93" t="s">
        <v>95</v>
      </c>
      <c r="D13" s="83" t="s">
        <v>12</v>
      </c>
      <c r="E13" s="83"/>
      <c r="F13" s="88">
        <v>5.2499999999999998E-2</v>
      </c>
      <c r="G13" s="89">
        <v>5.2499999999999998E-2</v>
      </c>
      <c r="H13" s="89">
        <v>5.2499999999999998E-2</v>
      </c>
      <c r="I13" s="90">
        <v>5.2499999999999998E-2</v>
      </c>
      <c r="J13" s="90">
        <v>5.2499999999999998E-2</v>
      </c>
      <c r="K13" s="90">
        <f>(0.066+0.076)/2</f>
        <v>7.1000000000000008E-2</v>
      </c>
      <c r="L13" s="90">
        <v>7.1000000000000008E-2</v>
      </c>
      <c r="M13" s="90">
        <v>7.1000000000000008E-2</v>
      </c>
      <c r="N13" s="90">
        <v>7.1000000000000008E-2</v>
      </c>
      <c r="O13" s="94">
        <v>7.1000000000000008E-2</v>
      </c>
    </row>
    <row r="14" spans="1:15" ht="15" customHeight="1">
      <c r="B14" s="438"/>
      <c r="C14" s="93" t="s">
        <v>96</v>
      </c>
      <c r="D14" s="83"/>
      <c r="E14" s="83"/>
      <c r="F14" s="95">
        <v>0.1</v>
      </c>
      <c r="G14" s="96">
        <v>0.1</v>
      </c>
      <c r="H14" s="96">
        <v>0.1</v>
      </c>
      <c r="I14" s="97">
        <v>0.1</v>
      </c>
      <c r="J14" s="97">
        <v>0.1</v>
      </c>
      <c r="K14" s="97">
        <v>0.15</v>
      </c>
      <c r="L14" s="97">
        <v>0.15</v>
      </c>
      <c r="M14" s="97">
        <v>0.15</v>
      </c>
      <c r="N14" s="97">
        <v>0.15</v>
      </c>
      <c r="O14" s="98">
        <v>0.15</v>
      </c>
    </row>
    <row r="15" spans="1:15" ht="15" customHeight="1">
      <c r="B15" s="438"/>
      <c r="C15" s="93" t="s">
        <v>97</v>
      </c>
      <c r="D15" s="83"/>
      <c r="E15" s="83"/>
      <c r="F15" s="95">
        <v>0.6</v>
      </c>
      <c r="G15" s="96">
        <v>0.6</v>
      </c>
      <c r="H15" s="96">
        <v>0.6</v>
      </c>
      <c r="I15" s="97">
        <v>0.6</v>
      </c>
      <c r="J15" s="97">
        <v>0.6</v>
      </c>
      <c r="K15" s="97">
        <f t="shared" ref="K15:O15" si="0">(0.54+0.61)/2</f>
        <v>0.57499999999999996</v>
      </c>
      <c r="L15" s="97">
        <f t="shared" si="0"/>
        <v>0.57499999999999996</v>
      </c>
      <c r="M15" s="97">
        <f t="shared" si="0"/>
        <v>0.57499999999999996</v>
      </c>
      <c r="N15" s="97">
        <f t="shared" si="0"/>
        <v>0.57499999999999996</v>
      </c>
      <c r="O15" s="98">
        <f t="shared" si="0"/>
        <v>0.57499999999999996</v>
      </c>
    </row>
    <row r="16" spans="1:15" ht="15" customHeight="1">
      <c r="B16" s="438"/>
      <c r="C16" s="93" t="s">
        <v>98</v>
      </c>
      <c r="D16" s="83"/>
      <c r="E16" s="83"/>
      <c r="F16" s="95">
        <v>1.21</v>
      </c>
      <c r="G16" s="96">
        <v>1.21</v>
      </c>
      <c r="H16" s="96">
        <v>1.21</v>
      </c>
      <c r="I16" s="97">
        <v>1.21</v>
      </c>
      <c r="J16" s="97">
        <v>1.21</v>
      </c>
      <c r="K16" s="97">
        <f t="shared" ref="K16:O16" si="1">(1.02+1.17)/2</f>
        <v>1.095</v>
      </c>
      <c r="L16" s="97">
        <f t="shared" si="1"/>
        <v>1.095</v>
      </c>
      <c r="M16" s="97">
        <f t="shared" si="1"/>
        <v>1.095</v>
      </c>
      <c r="N16" s="97">
        <f t="shared" si="1"/>
        <v>1.095</v>
      </c>
      <c r="O16" s="98">
        <f t="shared" si="1"/>
        <v>1.095</v>
      </c>
    </row>
    <row r="17" spans="2:15" ht="15" customHeight="1">
      <c r="B17" s="438"/>
      <c r="C17" s="93" t="s">
        <v>99</v>
      </c>
      <c r="D17" s="83" t="s">
        <v>12</v>
      </c>
      <c r="E17" s="83"/>
      <c r="F17" s="88">
        <v>2.9499999999999998E-2</v>
      </c>
      <c r="G17" s="89">
        <v>2.9499999999999998E-2</v>
      </c>
      <c r="H17" s="89">
        <v>2.9499999999999998E-2</v>
      </c>
      <c r="I17" s="90">
        <v>2.9499999999999998E-2</v>
      </c>
      <c r="J17" s="90">
        <v>2.9499999999999998E-2</v>
      </c>
      <c r="K17" s="90">
        <v>2.1399999999999999E-2</v>
      </c>
      <c r="L17" s="90">
        <v>2.1399999999999999E-2</v>
      </c>
      <c r="M17" s="90">
        <v>2.1399999999999999E-2</v>
      </c>
      <c r="N17" s="90">
        <v>2.1399999999999999E-2</v>
      </c>
      <c r="O17" s="94">
        <v>2.1399999999999999E-2</v>
      </c>
    </row>
    <row r="18" spans="2:15" ht="15" customHeight="1">
      <c r="B18" s="438"/>
      <c r="C18" s="99" t="s">
        <v>100</v>
      </c>
      <c r="D18" s="83" t="s">
        <v>12</v>
      </c>
      <c r="E18" s="83"/>
      <c r="F18" s="84">
        <v>0.2</v>
      </c>
      <c r="G18" s="85">
        <v>0.2</v>
      </c>
      <c r="H18" s="85">
        <v>0.2</v>
      </c>
      <c r="I18" s="86">
        <v>0.2</v>
      </c>
      <c r="J18" s="86">
        <v>0.2</v>
      </c>
      <c r="K18" s="86">
        <v>0.17</v>
      </c>
      <c r="L18" s="86">
        <v>0.17</v>
      </c>
      <c r="M18" s="86">
        <v>0.17</v>
      </c>
      <c r="N18" s="86">
        <v>0.17</v>
      </c>
      <c r="O18" s="87">
        <v>0.17</v>
      </c>
    </row>
    <row r="19" spans="2:15" ht="15" customHeight="1">
      <c r="B19" s="438"/>
      <c r="C19" s="93" t="s">
        <v>101</v>
      </c>
      <c r="D19" s="83" t="s">
        <v>12</v>
      </c>
      <c r="E19" s="83"/>
      <c r="F19" s="88">
        <v>7.6100000000000001E-2</v>
      </c>
      <c r="G19" s="89">
        <v>7.6100000000000001E-2</v>
      </c>
      <c r="H19" s="89">
        <v>7.6100000000000001E-2</v>
      </c>
      <c r="I19" s="90">
        <v>7.6100000000000001E-2</v>
      </c>
      <c r="J19" s="90">
        <v>7.6100000000000001E-2</v>
      </c>
      <c r="K19" s="90">
        <f>(0.0611+0.083)/2</f>
        <v>7.2050000000000003E-2</v>
      </c>
      <c r="L19" s="90">
        <v>7.2050000000000003E-2</v>
      </c>
      <c r="M19" s="90">
        <v>7.2050000000000003E-2</v>
      </c>
      <c r="N19" s="90">
        <v>7.2050000000000003E-2</v>
      </c>
      <c r="O19" s="94">
        <v>7.2050000000000003E-2</v>
      </c>
    </row>
    <row r="20" spans="2:15" ht="15" customHeight="1">
      <c r="B20" s="438"/>
      <c r="C20" s="93" t="s">
        <v>102</v>
      </c>
      <c r="D20" s="83" t="s">
        <v>12</v>
      </c>
      <c r="E20" s="83"/>
      <c r="F20" s="88">
        <v>9.5100000000000004E-2</v>
      </c>
      <c r="G20" s="89">
        <v>9.5100000000000004E-2</v>
      </c>
      <c r="H20" s="89">
        <v>9.5100000000000004E-2</v>
      </c>
      <c r="I20" s="90">
        <v>9.5100000000000004E-2</v>
      </c>
      <c r="J20" s="90">
        <v>9.5100000000000004E-2</v>
      </c>
      <c r="K20" s="90">
        <f>(0.0736+0.0999)/2</f>
        <v>8.6749999999999994E-2</v>
      </c>
      <c r="L20" s="90">
        <v>8.6749999999999994E-2</v>
      </c>
      <c r="M20" s="90">
        <v>8.6749999999999994E-2</v>
      </c>
      <c r="N20" s="90">
        <v>8.6749999999999994E-2</v>
      </c>
      <c r="O20" s="94">
        <v>8.6749999999999994E-2</v>
      </c>
    </row>
    <row r="21" spans="2:15" ht="15" hidden="1" customHeight="1">
      <c r="B21" s="438"/>
      <c r="C21" s="93" t="s">
        <v>99</v>
      </c>
      <c r="D21" s="83" t="s">
        <v>12</v>
      </c>
      <c r="E21" s="83"/>
      <c r="F21" s="84"/>
      <c r="G21" s="85"/>
      <c r="H21" s="85"/>
      <c r="I21" s="86"/>
      <c r="J21" s="86"/>
      <c r="K21" s="86"/>
      <c r="L21" s="86"/>
      <c r="M21" s="86"/>
      <c r="N21" s="86"/>
      <c r="O21" s="87"/>
    </row>
    <row r="22" spans="2:15" ht="15" customHeight="1">
      <c r="B22" s="438"/>
      <c r="C22" s="100" t="s">
        <v>103</v>
      </c>
      <c r="D22" s="83" t="s">
        <v>12</v>
      </c>
      <c r="E22" s="83"/>
      <c r="F22" s="88">
        <v>5.0500000000000003E-2</v>
      </c>
      <c r="G22" s="89">
        <v>5.0500000000000003E-2</v>
      </c>
      <c r="H22" s="89">
        <v>5.0500000000000003E-2</v>
      </c>
      <c r="I22" s="90">
        <v>5.0500000000000003E-2</v>
      </c>
      <c r="J22" s="90">
        <v>5.0500000000000003E-2</v>
      </c>
      <c r="K22" s="90">
        <f>(0.0393+0.0491)/2</f>
        <v>4.4200000000000003E-2</v>
      </c>
      <c r="L22" s="90">
        <v>4.4200000000000003E-2</v>
      </c>
      <c r="M22" s="90">
        <v>4.4200000000000003E-2</v>
      </c>
      <c r="N22" s="90">
        <v>4.4200000000000003E-2</v>
      </c>
      <c r="O22" s="94">
        <v>4.4200000000000003E-2</v>
      </c>
    </row>
    <row r="23" spans="2:15" ht="15" customHeight="1">
      <c r="B23" s="438"/>
      <c r="C23" s="83" t="s">
        <v>104</v>
      </c>
      <c r="D23" s="83" t="s">
        <v>12</v>
      </c>
      <c r="E23" s="83"/>
      <c r="F23" s="88">
        <v>5.8999999999999997E-2</v>
      </c>
      <c r="G23" s="89">
        <v>5.8999999999999997E-2</v>
      </c>
      <c r="H23" s="89">
        <v>5.8999999999999997E-2</v>
      </c>
      <c r="I23" s="90">
        <v>5.8999999999999997E-2</v>
      </c>
      <c r="J23" s="90">
        <v>5.8999999999999997E-2</v>
      </c>
      <c r="K23" s="90">
        <f>(0.0449+0.0567)/2</f>
        <v>5.0799999999999998E-2</v>
      </c>
      <c r="L23" s="90">
        <v>5.0799999999999998E-2</v>
      </c>
      <c r="M23" s="90">
        <v>5.0799999999999998E-2</v>
      </c>
      <c r="N23" s="90">
        <v>5.0799999999999998E-2</v>
      </c>
      <c r="O23" s="94">
        <v>5.0799999999999998E-2</v>
      </c>
    </row>
    <row r="24" spans="2:15" ht="15" customHeight="1">
      <c r="B24" s="439"/>
      <c r="C24" s="83"/>
      <c r="D24" s="83"/>
      <c r="E24" s="83"/>
      <c r="F24" s="101"/>
      <c r="G24" s="102"/>
      <c r="H24" s="102"/>
      <c r="I24" s="102"/>
      <c r="J24" s="102"/>
      <c r="K24" s="102"/>
      <c r="L24" s="102"/>
      <c r="M24" s="102"/>
      <c r="N24" s="102"/>
      <c r="O24" s="103"/>
    </row>
    <row r="25" spans="2:15" ht="15" customHeight="1">
      <c r="B25" s="437" t="s">
        <v>105</v>
      </c>
      <c r="C25" s="104"/>
      <c r="D25" s="104"/>
      <c r="E25" s="104"/>
      <c r="F25" s="80"/>
      <c r="G25" s="81"/>
      <c r="H25" s="81"/>
      <c r="I25" s="81"/>
      <c r="J25" s="102"/>
      <c r="K25" s="102"/>
      <c r="L25" s="102"/>
      <c r="M25" s="102"/>
      <c r="N25" s="81"/>
      <c r="O25" s="82"/>
    </row>
    <row r="26" spans="2:15" ht="15" customHeight="1">
      <c r="B26" s="438"/>
      <c r="C26" s="93" t="s">
        <v>106</v>
      </c>
      <c r="D26" s="83"/>
      <c r="E26" s="83"/>
      <c r="F26" s="105">
        <v>100.6</v>
      </c>
      <c r="G26" s="106">
        <v>103.2</v>
      </c>
      <c r="H26" s="106">
        <v>105.5</v>
      </c>
      <c r="I26" s="107">
        <v>107.6</v>
      </c>
      <c r="J26" s="107">
        <v>109.752</v>
      </c>
      <c r="K26" s="107">
        <v>111.94704</v>
      </c>
      <c r="L26" s="107">
        <v>114.18598080000001</v>
      </c>
      <c r="M26" s="107">
        <v>116.46970041600001</v>
      </c>
      <c r="N26" s="107">
        <v>118.79909442432002</v>
      </c>
      <c r="O26" s="108">
        <v>121.17507631280642</v>
      </c>
    </row>
    <row r="27" spans="2:15" ht="15" customHeight="1">
      <c r="B27" s="438"/>
      <c r="C27" s="93" t="s">
        <v>107</v>
      </c>
      <c r="D27" s="83" t="s">
        <v>12</v>
      </c>
      <c r="E27" s="83"/>
      <c r="F27" s="109"/>
      <c r="G27" s="89">
        <f>(G26-F26)/F26</f>
        <v>2.5844930417495117E-2</v>
      </c>
      <c r="H27" s="89">
        <f t="shared" ref="H27:O27" si="2">(H26-G26)/G26</f>
        <v>2.2286821705426327E-2</v>
      </c>
      <c r="I27" s="90">
        <f t="shared" si="2"/>
        <v>1.9905213270142125E-2</v>
      </c>
      <c r="J27" s="90">
        <f t="shared" si="2"/>
        <v>2.0000000000000011E-2</v>
      </c>
      <c r="K27" s="90">
        <f t="shared" si="2"/>
        <v>2.0000000000000056E-2</v>
      </c>
      <c r="L27" s="90">
        <f t="shared" si="2"/>
        <v>2.000000000000008E-2</v>
      </c>
      <c r="M27" s="90">
        <f t="shared" si="2"/>
        <v>1.999999999999999E-2</v>
      </c>
      <c r="N27" s="90">
        <f t="shared" si="2"/>
        <v>2.000000000000007E-2</v>
      </c>
      <c r="O27" s="94">
        <f t="shared" si="2"/>
        <v>2.0000000000000059E-2</v>
      </c>
    </row>
    <row r="28" spans="2:15" ht="15" customHeight="1">
      <c r="B28" s="438"/>
      <c r="C28" s="110"/>
      <c r="D28" s="83"/>
      <c r="E28" s="83"/>
      <c r="F28" s="101"/>
      <c r="G28" s="102"/>
      <c r="H28" s="102"/>
      <c r="I28" s="102"/>
      <c r="J28" s="102"/>
      <c r="K28" s="102"/>
      <c r="L28" s="102"/>
      <c r="M28" s="102"/>
      <c r="N28" s="102"/>
      <c r="O28" s="103"/>
    </row>
    <row r="29" spans="2:15" ht="15" customHeight="1">
      <c r="B29" s="438"/>
      <c r="C29" s="93" t="s">
        <v>108</v>
      </c>
      <c r="D29" s="83"/>
      <c r="E29" s="83"/>
      <c r="F29" s="105">
        <v>261.39999999999998</v>
      </c>
      <c r="G29" s="106">
        <v>270.60000000000002</v>
      </c>
      <c r="H29" s="106">
        <v>279.7</v>
      </c>
      <c r="I29" s="107">
        <v>288.2</v>
      </c>
      <c r="J29" s="107">
        <v>293.964</v>
      </c>
      <c r="K29" s="107">
        <v>299.84327999999999</v>
      </c>
      <c r="L29" s="107">
        <v>305.84014559999997</v>
      </c>
      <c r="M29" s="107">
        <v>311.956948512</v>
      </c>
      <c r="N29" s="107">
        <v>318.19608748223999</v>
      </c>
      <c r="O29" s="108">
        <v>324.56000923188481</v>
      </c>
    </row>
    <row r="30" spans="2:15" ht="15" customHeight="1">
      <c r="B30" s="438"/>
      <c r="C30" s="93" t="s">
        <v>109</v>
      </c>
      <c r="D30" s="83" t="s">
        <v>12</v>
      </c>
      <c r="E30" s="83"/>
      <c r="F30" s="109"/>
      <c r="G30" s="89">
        <f>(G29-F29)/F29</f>
        <v>3.5195103289977221E-2</v>
      </c>
      <c r="H30" s="89">
        <f t="shared" ref="H30:O30" si="3">(H29-G29)/G29</f>
        <v>3.3628972653362767E-2</v>
      </c>
      <c r="I30" s="90">
        <f t="shared" si="3"/>
        <v>3.0389703253485879E-2</v>
      </c>
      <c r="J30" s="90">
        <f t="shared" si="3"/>
        <v>2.0000000000000035E-2</v>
      </c>
      <c r="K30" s="90">
        <f t="shared" si="3"/>
        <v>1.999999999999998E-2</v>
      </c>
      <c r="L30" s="90">
        <f t="shared" si="3"/>
        <v>1.9999999999999928E-2</v>
      </c>
      <c r="M30" s="90">
        <f t="shared" si="3"/>
        <v>2.0000000000000087E-2</v>
      </c>
      <c r="N30" s="90">
        <f t="shared" si="3"/>
        <v>1.9999999999999976E-2</v>
      </c>
      <c r="O30" s="94">
        <f t="shared" si="3"/>
        <v>2.0000000000000052E-2</v>
      </c>
    </row>
    <row r="31" spans="2:15" ht="15" customHeight="1">
      <c r="B31" s="438"/>
      <c r="C31" s="110"/>
      <c r="D31" s="83"/>
      <c r="E31" s="83"/>
      <c r="F31" s="101"/>
      <c r="G31" s="102"/>
      <c r="H31" s="102"/>
      <c r="I31" s="102"/>
      <c r="J31" s="102"/>
      <c r="K31" s="102"/>
      <c r="L31" s="102"/>
      <c r="M31" s="102"/>
      <c r="N31" s="102"/>
      <c r="O31" s="103"/>
    </row>
    <row r="32" spans="2:15" ht="15" customHeight="1">
      <c r="B32" s="438"/>
      <c r="C32" s="93" t="s">
        <v>110</v>
      </c>
      <c r="D32" s="83"/>
      <c r="E32" s="83"/>
      <c r="F32" s="105">
        <v>100.2</v>
      </c>
      <c r="G32" s="106">
        <v>102.9</v>
      </c>
      <c r="H32" s="106">
        <v>105.4</v>
      </c>
      <c r="I32" s="111">
        <v>107.6</v>
      </c>
      <c r="J32" s="107">
        <f>I32*(1+J33)</f>
        <v>109.64439999999999</v>
      </c>
      <c r="K32" s="107">
        <f t="shared" ref="K32:O32" si="4">J32*(1+K33)</f>
        <v>111.83728799999999</v>
      </c>
      <c r="L32" s="107">
        <f t="shared" si="4"/>
        <v>114.07403375999999</v>
      </c>
      <c r="M32" s="107">
        <f t="shared" si="4"/>
        <v>116.35551443519999</v>
      </c>
      <c r="N32" s="107">
        <f t="shared" si="4"/>
        <v>118.682624723904</v>
      </c>
      <c r="O32" s="108">
        <f t="shared" si="4"/>
        <v>121.05627721838208</v>
      </c>
    </row>
    <row r="33" spans="2:15" ht="15" customHeight="1">
      <c r="B33" s="438"/>
      <c r="C33" s="93" t="s">
        <v>111</v>
      </c>
      <c r="D33" s="83" t="s">
        <v>12</v>
      </c>
      <c r="E33" s="83"/>
      <c r="F33" s="109"/>
      <c r="G33" s="89">
        <f>(G32-F32)/F32</f>
        <v>2.6946107784431166E-2</v>
      </c>
      <c r="H33" s="89">
        <f t="shared" ref="H33:I33" si="5">(H32-G32)/G32</f>
        <v>2.4295432458697763E-2</v>
      </c>
      <c r="I33" s="90">
        <f t="shared" si="5"/>
        <v>2.0872865275142205E-2</v>
      </c>
      <c r="J33" s="90">
        <v>1.9E-2</v>
      </c>
      <c r="K33" s="90">
        <v>0.02</v>
      </c>
      <c r="L33" s="90">
        <v>0.02</v>
      </c>
      <c r="M33" s="90">
        <v>0.02</v>
      </c>
      <c r="N33" s="90">
        <v>0.02</v>
      </c>
      <c r="O33" s="94">
        <v>0.02</v>
      </c>
    </row>
    <row r="34" spans="2:15" ht="15" customHeight="1">
      <c r="B34" s="439"/>
      <c r="C34" s="112"/>
      <c r="D34" s="112"/>
      <c r="E34" s="112"/>
      <c r="F34" s="113"/>
      <c r="G34" s="114"/>
      <c r="H34" s="114"/>
      <c r="I34" s="114"/>
      <c r="J34" s="114"/>
      <c r="K34" s="114"/>
      <c r="L34" s="114"/>
      <c r="M34" s="114"/>
      <c r="N34" s="114"/>
      <c r="O34" s="115"/>
    </row>
    <row r="35" spans="2:15" ht="15" customHeight="1">
      <c r="B35" s="116" t="s">
        <v>112</v>
      </c>
      <c r="C35" s="117"/>
      <c r="D35" s="79"/>
      <c r="E35" s="79"/>
      <c r="F35" s="102"/>
      <c r="G35" s="102"/>
      <c r="H35" s="102"/>
      <c r="I35" s="102"/>
      <c r="J35" s="102"/>
      <c r="K35" s="102"/>
      <c r="L35" s="102"/>
      <c r="M35" s="102"/>
      <c r="N35" s="102"/>
      <c r="O35" s="103"/>
    </row>
    <row r="36" spans="2:15" ht="15" customHeight="1">
      <c r="B36" s="118" t="s">
        <v>113</v>
      </c>
      <c r="C36" s="83" t="s">
        <v>114</v>
      </c>
      <c r="D36" s="83" t="s">
        <v>40</v>
      </c>
      <c r="E36" s="83" t="s">
        <v>115</v>
      </c>
      <c r="F36" s="119">
        <v>33794.973969999999</v>
      </c>
      <c r="G36" s="119">
        <v>32922.405579999999</v>
      </c>
      <c r="H36" s="119">
        <v>43209.344809999995</v>
      </c>
      <c r="I36" s="120">
        <v>47753</v>
      </c>
      <c r="J36" s="120">
        <v>51410.411508287929</v>
      </c>
      <c r="K36" s="120">
        <v>44872</v>
      </c>
      <c r="L36" s="120">
        <v>45372</v>
      </c>
      <c r="M36" s="120">
        <v>45572</v>
      </c>
      <c r="N36" s="120">
        <v>45622</v>
      </c>
      <c r="O36" s="121">
        <v>45622</v>
      </c>
    </row>
    <row r="37" spans="2:15" ht="15" customHeight="1">
      <c r="B37" s="118"/>
      <c r="C37" s="83" t="s">
        <v>116</v>
      </c>
      <c r="D37" s="83" t="s">
        <v>40</v>
      </c>
      <c r="E37" s="83" t="s">
        <v>115</v>
      </c>
      <c r="F37" s="119">
        <v>19969.620932655856</v>
      </c>
      <c r="G37" s="119">
        <v>27563.951889991255</v>
      </c>
      <c r="H37" s="119">
        <v>28171.023173400001</v>
      </c>
      <c r="I37" s="120">
        <v>44489.900858394423</v>
      </c>
      <c r="J37" s="120">
        <v>32458.081359295124</v>
      </c>
      <c r="K37" s="120">
        <v>38715.457900000001</v>
      </c>
      <c r="L37" s="120">
        <v>48472.437299999998</v>
      </c>
      <c r="M37" s="120">
        <v>49722.842517651741</v>
      </c>
      <c r="N37" s="120">
        <v>50013.491609453406</v>
      </c>
      <c r="O37" s="121">
        <v>50296.457340743604</v>
      </c>
    </row>
    <row r="38" spans="2:15" ht="15" customHeight="1">
      <c r="B38" s="118"/>
      <c r="C38" s="83" t="s">
        <v>117</v>
      </c>
      <c r="D38" s="83" t="s">
        <v>40</v>
      </c>
      <c r="E38" s="83" t="s">
        <v>115</v>
      </c>
      <c r="F38" s="119">
        <v>35483.021423106497</v>
      </c>
      <c r="G38" s="119">
        <v>29477.315225425002</v>
      </c>
      <c r="H38" s="119">
        <v>38843.453276571097</v>
      </c>
      <c r="I38" s="120">
        <v>66527.5</v>
      </c>
      <c r="J38" s="120">
        <v>60965</v>
      </c>
      <c r="K38" s="120">
        <v>50062.5</v>
      </c>
      <c r="L38" s="120">
        <v>50062.5</v>
      </c>
      <c r="M38" s="120">
        <v>50062.5</v>
      </c>
      <c r="N38" s="120">
        <v>50062.5</v>
      </c>
      <c r="O38" s="121">
        <v>50062.5</v>
      </c>
    </row>
    <row r="39" spans="2:15" ht="15" hidden="1" customHeight="1">
      <c r="B39" s="118"/>
      <c r="C39" s="83" t="s">
        <v>118</v>
      </c>
      <c r="D39" s="83" t="s">
        <v>40</v>
      </c>
      <c r="E39" s="83" t="s">
        <v>115</v>
      </c>
      <c r="F39" s="122"/>
      <c r="G39" s="122"/>
      <c r="H39" s="122"/>
      <c r="I39" s="123"/>
      <c r="J39" s="123"/>
      <c r="K39" s="123"/>
      <c r="L39" s="123"/>
      <c r="M39" s="123"/>
      <c r="N39" s="123"/>
      <c r="O39" s="124"/>
    </row>
    <row r="40" spans="2:15" ht="15" hidden="1" customHeight="1">
      <c r="B40" s="118"/>
      <c r="C40" s="83" t="s">
        <v>118</v>
      </c>
      <c r="D40" s="83" t="s">
        <v>40</v>
      </c>
      <c r="E40" s="83" t="s">
        <v>115</v>
      </c>
      <c r="F40" s="122"/>
      <c r="G40" s="122"/>
      <c r="H40" s="122"/>
      <c r="I40" s="123"/>
      <c r="J40" s="123"/>
      <c r="K40" s="123"/>
      <c r="L40" s="123"/>
      <c r="M40" s="123"/>
      <c r="N40" s="123"/>
      <c r="O40" s="124"/>
    </row>
    <row r="41" spans="2:15" ht="15" customHeight="1">
      <c r="B41" s="118"/>
      <c r="C41" s="125" t="s">
        <v>119</v>
      </c>
      <c r="D41" s="83" t="s">
        <v>40</v>
      </c>
      <c r="E41" s="83" t="s">
        <v>115</v>
      </c>
      <c r="F41" s="126">
        <f>SUM(F36:F40)</f>
        <v>89247.616325762356</v>
      </c>
      <c r="G41" s="119">
        <f t="shared" ref="G41:O41" si="6">SUM(G36:G40)</f>
        <v>89963.672695416259</v>
      </c>
      <c r="H41" s="119">
        <f t="shared" si="6"/>
        <v>110223.8212599711</v>
      </c>
      <c r="I41" s="120">
        <f t="shared" si="6"/>
        <v>158770.40085839442</v>
      </c>
      <c r="J41" s="120">
        <f t="shared" si="6"/>
        <v>144833.49286758306</v>
      </c>
      <c r="K41" s="120">
        <f t="shared" si="6"/>
        <v>133649.95790000001</v>
      </c>
      <c r="L41" s="120">
        <f t="shared" si="6"/>
        <v>143906.93729999999</v>
      </c>
      <c r="M41" s="120">
        <f t="shared" si="6"/>
        <v>145357.34251765173</v>
      </c>
      <c r="N41" s="120">
        <f t="shared" si="6"/>
        <v>145697.9916094534</v>
      </c>
      <c r="O41" s="121">
        <f t="shared" si="6"/>
        <v>145980.9573407436</v>
      </c>
    </row>
    <row r="42" spans="2:15" ht="15" customHeight="1">
      <c r="B42" s="118"/>
      <c r="C42" s="83"/>
      <c r="D42" s="83"/>
      <c r="E42" s="83"/>
      <c r="O42" s="26"/>
    </row>
    <row r="43" spans="2:15" ht="15" customHeight="1">
      <c r="B43" s="118" t="s">
        <v>112</v>
      </c>
      <c r="C43" s="83" t="s">
        <v>120</v>
      </c>
      <c r="D43" s="83" t="s">
        <v>12</v>
      </c>
      <c r="E43" s="83"/>
      <c r="F43" s="127">
        <v>5.0000000000000001E-3</v>
      </c>
      <c r="G43" s="127">
        <v>5.0000000000000001E-3</v>
      </c>
      <c r="H43" s="127">
        <v>5.0000000000000001E-3</v>
      </c>
      <c r="I43" s="128">
        <v>5.0000000000000001E-3</v>
      </c>
      <c r="J43" s="128">
        <v>5.0000000000000001E-3</v>
      </c>
      <c r="K43" s="128">
        <v>6.0000000000000001E-3</v>
      </c>
      <c r="L43" s="128">
        <v>6.0000000000000001E-3</v>
      </c>
      <c r="M43" s="128">
        <v>6.0000000000000001E-3</v>
      </c>
      <c r="N43" s="128">
        <v>6.0000000000000001E-3</v>
      </c>
      <c r="O43" s="129">
        <v>6.0000000000000001E-3</v>
      </c>
    </row>
    <row r="44" spans="2:15" ht="15" customHeight="1">
      <c r="B44" s="130"/>
      <c r="C44" s="112" t="s">
        <v>112</v>
      </c>
      <c r="D44" s="112" t="s">
        <v>40</v>
      </c>
      <c r="E44" s="112" t="s">
        <v>115</v>
      </c>
      <c r="F44" s="131">
        <f>F41*F43</f>
        <v>446.23808162881181</v>
      </c>
      <c r="G44" s="131">
        <f t="shared" ref="G44:O44" si="7">G41*G43</f>
        <v>449.81836347708128</v>
      </c>
      <c r="H44" s="131">
        <f t="shared" si="7"/>
        <v>551.1191062998555</v>
      </c>
      <c r="I44" s="132">
        <f t="shared" si="7"/>
        <v>793.85200429197209</v>
      </c>
      <c r="J44" s="132">
        <f t="shared" si="7"/>
        <v>724.16746433791536</v>
      </c>
      <c r="K44" s="132">
        <f t="shared" si="7"/>
        <v>801.89974740000002</v>
      </c>
      <c r="L44" s="132">
        <f t="shared" si="7"/>
        <v>863.4416238</v>
      </c>
      <c r="M44" s="132">
        <f t="shared" si="7"/>
        <v>872.14405510591041</v>
      </c>
      <c r="N44" s="132">
        <f t="shared" si="7"/>
        <v>874.18794965672043</v>
      </c>
      <c r="O44" s="133">
        <f t="shared" si="7"/>
        <v>875.8857440444616</v>
      </c>
    </row>
    <row r="45" spans="2:15" ht="15" customHeight="1">
      <c r="B45" s="116" t="s">
        <v>121</v>
      </c>
      <c r="C45" s="117"/>
      <c r="D45" s="117"/>
      <c r="E45" s="117"/>
      <c r="F45" s="102"/>
      <c r="G45" s="102"/>
      <c r="H45" s="102"/>
      <c r="I45" s="102"/>
      <c r="J45" s="102"/>
      <c r="K45" s="102"/>
      <c r="L45" s="102"/>
      <c r="M45" s="102"/>
      <c r="N45" s="102"/>
      <c r="O45" s="103"/>
    </row>
    <row r="46" spans="2:15" ht="15" customHeight="1">
      <c r="B46" s="429" t="s">
        <v>122</v>
      </c>
      <c r="C46" s="429" t="s">
        <v>123</v>
      </c>
      <c r="D46" s="83" t="s">
        <v>40</v>
      </c>
      <c r="E46" s="83" t="s">
        <v>115</v>
      </c>
      <c r="F46" s="119">
        <v>10000</v>
      </c>
      <c r="G46" s="119">
        <v>10000</v>
      </c>
      <c r="H46" s="119">
        <v>10000</v>
      </c>
      <c r="I46" s="120">
        <v>10000</v>
      </c>
      <c r="J46" s="120">
        <v>10000</v>
      </c>
      <c r="K46" s="120">
        <v>10000</v>
      </c>
      <c r="L46" s="120">
        <v>10000</v>
      </c>
      <c r="M46" s="120">
        <v>10000</v>
      </c>
      <c r="N46" s="120">
        <v>10000</v>
      </c>
      <c r="O46" s="121">
        <v>10000</v>
      </c>
    </row>
    <row r="47" spans="2:15" ht="15" customHeight="1">
      <c r="B47" s="429"/>
      <c r="C47" s="429"/>
      <c r="D47" s="83"/>
      <c r="E47" s="83"/>
      <c r="O47" s="26"/>
    </row>
    <row r="48" spans="2:15" ht="15" customHeight="1">
      <c r="B48" s="429" t="s">
        <v>124</v>
      </c>
      <c r="C48" s="83" t="s">
        <v>125</v>
      </c>
      <c r="D48" s="83" t="s">
        <v>12</v>
      </c>
      <c r="E48" s="83"/>
      <c r="F48" s="134">
        <v>1.7500000000000002E-2</v>
      </c>
      <c r="G48" s="134">
        <v>1.7500000000000002E-2</v>
      </c>
      <c r="H48" s="134">
        <v>1.7500000000000002E-2</v>
      </c>
      <c r="I48" s="135">
        <v>1.7500000000000002E-2</v>
      </c>
      <c r="J48" s="135">
        <v>1.7500000000000002E-2</v>
      </c>
      <c r="K48" s="135">
        <v>1.7500000000000002E-2</v>
      </c>
      <c r="L48" s="135">
        <v>1.7500000000000002E-2</v>
      </c>
      <c r="M48" s="135">
        <v>1.7500000000000002E-2</v>
      </c>
      <c r="N48" s="135">
        <v>1.7500000000000002E-2</v>
      </c>
      <c r="O48" s="136">
        <v>1.7500000000000002E-2</v>
      </c>
    </row>
    <row r="49" spans="2:15" ht="15" customHeight="1">
      <c r="B49" s="430"/>
      <c r="C49" s="112" t="s">
        <v>124</v>
      </c>
      <c r="D49" s="112" t="s">
        <v>40</v>
      </c>
      <c r="E49" s="112" t="s">
        <v>115</v>
      </c>
      <c r="F49" s="131">
        <v>184.39639639639643</v>
      </c>
      <c r="G49" s="131">
        <v>183.11332007952291</v>
      </c>
      <c r="H49" s="131">
        <v>178.50000000000003</v>
      </c>
      <c r="I49" s="132">
        <v>175.00000000000003</v>
      </c>
      <c r="J49" s="132">
        <v>171.56862745098042</v>
      </c>
      <c r="K49" s="132">
        <v>168.20453671664743</v>
      </c>
      <c r="L49" s="132">
        <v>164.9064085457328</v>
      </c>
      <c r="M49" s="132">
        <v>161.67294955463998</v>
      </c>
      <c r="N49" s="132">
        <v>158.50289172023528</v>
      </c>
      <c r="O49" s="133">
        <v>155.39499188258358</v>
      </c>
    </row>
  </sheetData>
  <mergeCells count="9">
    <mergeCell ref="B48:B49"/>
    <mergeCell ref="B8:B9"/>
    <mergeCell ref="C8:C9"/>
    <mergeCell ref="F8:J8"/>
    <mergeCell ref="K8:O8"/>
    <mergeCell ref="B10:B24"/>
    <mergeCell ref="B25:B34"/>
    <mergeCell ref="B46:B47"/>
    <mergeCell ref="C46:C47"/>
  </mergeCells>
  <pageMargins left="0.7" right="0.7" top="0.75" bottom="0.75" header="0.3" footer="0.3"/>
  <pageSetup paperSize="9" scale="54"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6" tint="0.59999389629810485"/>
    <pageSetUpPr fitToPage="1"/>
  </sheetPr>
  <dimension ref="A1:W48"/>
  <sheetViews>
    <sheetView showGridLines="0" topLeftCell="B1" zoomScaleNormal="100" workbookViewId="0">
      <pane xSplit="4" ySplit="8" topLeftCell="M9" activePane="bottomRight" state="frozen"/>
      <selection activeCell="B1" sqref="B1"/>
      <selection pane="topRight" activeCell="F1" sqref="F1"/>
      <selection pane="bottomLeft" activeCell="B10" sqref="B10"/>
      <selection pane="bottomRight" activeCell="Q21" sqref="Q21"/>
    </sheetView>
  </sheetViews>
  <sheetFormatPr defaultColWidth="10.6640625" defaultRowHeight="14.25"/>
  <cols>
    <col min="1" max="1" width="0" style="10" hidden="1" customWidth="1"/>
    <col min="2" max="2" width="23.46484375" style="10" customWidth="1"/>
    <col min="3" max="3" width="30" style="10" customWidth="1"/>
    <col min="4" max="5" width="13" style="10" customWidth="1"/>
    <col min="6" max="11" width="10.6640625" style="10" hidden="1" customWidth="1"/>
    <col min="12" max="12" width="0" style="10" hidden="1" customWidth="1"/>
    <col min="13" max="16384" width="10.6640625" style="10"/>
  </cols>
  <sheetData>
    <row r="1" spans="1:23">
      <c r="A1" s="7"/>
      <c r="B1" s="8"/>
      <c r="C1" s="9"/>
      <c r="D1" s="9"/>
      <c r="E1" s="9"/>
      <c r="F1" s="9"/>
      <c r="G1" s="9"/>
      <c r="H1" s="9"/>
      <c r="I1" s="9"/>
      <c r="J1" s="9"/>
      <c r="K1" s="9"/>
      <c r="L1" s="9"/>
      <c r="M1" s="8"/>
      <c r="N1" s="8"/>
      <c r="O1" s="8"/>
      <c r="P1" s="7"/>
      <c r="Q1" s="7"/>
    </row>
    <row r="2" spans="1:23">
      <c r="A2" s="7"/>
      <c r="B2" s="8"/>
      <c r="C2" s="9"/>
      <c r="D2" s="9"/>
      <c r="E2" s="9"/>
      <c r="F2" s="9"/>
      <c r="G2" s="9"/>
      <c r="H2" s="9"/>
      <c r="I2" s="9"/>
      <c r="J2" s="9"/>
      <c r="K2" s="9"/>
      <c r="L2" s="9"/>
      <c r="M2" s="8"/>
      <c r="N2" s="8"/>
      <c r="O2" s="8"/>
      <c r="P2" s="7"/>
      <c r="Q2" s="7"/>
    </row>
    <row r="3" spans="1:23">
      <c r="A3" s="7"/>
      <c r="B3" s="8"/>
      <c r="C3" s="9"/>
      <c r="D3" s="9"/>
      <c r="E3" s="9"/>
      <c r="F3" s="9"/>
      <c r="G3" s="9"/>
      <c r="H3" s="9"/>
      <c r="I3" s="9"/>
      <c r="J3" s="9"/>
      <c r="K3" s="9"/>
      <c r="L3" s="9"/>
      <c r="M3" s="8"/>
      <c r="N3" s="8"/>
      <c r="O3" s="8"/>
      <c r="P3" s="7"/>
      <c r="Q3" s="7"/>
    </row>
    <row r="4" spans="1:23">
      <c r="A4" s="7"/>
      <c r="B4" s="8"/>
      <c r="C4" s="9"/>
      <c r="D4" s="9"/>
      <c r="E4" s="9"/>
      <c r="F4" s="9"/>
      <c r="G4" s="9"/>
      <c r="H4" s="9"/>
      <c r="I4" s="9"/>
      <c r="J4" s="9"/>
      <c r="K4" s="9"/>
      <c r="L4" s="9"/>
      <c r="M4" s="8"/>
      <c r="N4" s="8"/>
      <c r="O4" s="8"/>
      <c r="P4" s="7"/>
      <c r="Q4" s="7"/>
    </row>
    <row r="5" spans="1:23" ht="23.25">
      <c r="A5" s="7"/>
      <c r="B5" s="11" t="s">
        <v>26</v>
      </c>
      <c r="C5" s="9"/>
      <c r="D5" s="9"/>
      <c r="E5" s="9"/>
      <c r="F5" s="9"/>
      <c r="G5" s="9"/>
      <c r="H5" s="9"/>
      <c r="I5" s="9"/>
      <c r="J5" s="9"/>
      <c r="K5" s="9"/>
      <c r="L5" s="9"/>
      <c r="M5" s="8"/>
      <c r="N5" s="8"/>
      <c r="O5" s="8"/>
      <c r="P5" s="7"/>
      <c r="Q5" s="7"/>
    </row>
    <row r="7" spans="1:23">
      <c r="B7" s="431" t="s">
        <v>27</v>
      </c>
      <c r="C7" s="431" t="s">
        <v>28</v>
      </c>
      <c r="D7" s="12" t="s">
        <v>10</v>
      </c>
      <c r="E7" s="12" t="s">
        <v>11</v>
      </c>
      <c r="F7" s="440" t="s">
        <v>29</v>
      </c>
      <c r="G7" s="440"/>
      <c r="H7" s="440"/>
      <c r="I7" s="440"/>
      <c r="J7" s="440"/>
      <c r="K7" s="440"/>
      <c r="L7" s="440"/>
      <c r="M7" s="440"/>
      <c r="N7" s="440"/>
      <c r="O7" s="440"/>
      <c r="P7" s="440"/>
      <c r="Q7" s="440" t="s">
        <v>30</v>
      </c>
      <c r="R7" s="440"/>
      <c r="S7" s="440" t="s">
        <v>31</v>
      </c>
      <c r="T7" s="440"/>
      <c r="U7" s="440"/>
      <c r="V7" s="440"/>
      <c r="W7" s="440"/>
    </row>
    <row r="8" spans="1:23" ht="18" customHeight="1">
      <c r="B8" s="431" t="s">
        <v>27</v>
      </c>
      <c r="C8" s="431" t="s">
        <v>27</v>
      </c>
      <c r="D8" s="13"/>
      <c r="E8" s="13"/>
      <c r="F8" s="14" t="s">
        <v>32</v>
      </c>
      <c r="G8" s="14" t="s">
        <v>33</v>
      </c>
      <c r="H8" s="14" t="s">
        <v>34</v>
      </c>
      <c r="I8" s="14" t="s">
        <v>35</v>
      </c>
      <c r="J8" s="14" t="s">
        <v>36</v>
      </c>
      <c r="K8" s="14" t="s">
        <v>37</v>
      </c>
      <c r="L8" s="14" t="s">
        <v>15</v>
      </c>
      <c r="M8" s="14" t="s">
        <v>16</v>
      </c>
      <c r="N8" s="14" t="s">
        <v>0</v>
      </c>
      <c r="O8" s="14" t="s">
        <v>1</v>
      </c>
      <c r="P8" s="14" t="s">
        <v>2</v>
      </c>
      <c r="Q8" s="14" t="s">
        <v>3</v>
      </c>
      <c r="R8" s="14" t="s">
        <v>4</v>
      </c>
      <c r="S8" s="14" t="s">
        <v>5</v>
      </c>
      <c r="T8" s="14" t="s">
        <v>6</v>
      </c>
      <c r="U8" s="14" t="s">
        <v>7</v>
      </c>
      <c r="V8" s="14" t="s">
        <v>8</v>
      </c>
      <c r="W8" s="14" t="s">
        <v>9</v>
      </c>
    </row>
    <row r="9" spans="1:23">
      <c r="B9" s="15" t="s">
        <v>38</v>
      </c>
      <c r="C9" s="16" t="s">
        <v>39</v>
      </c>
      <c r="D9" s="17" t="s">
        <v>40</v>
      </c>
      <c r="E9" s="18" t="s">
        <v>22</v>
      </c>
      <c r="F9" s="19"/>
      <c r="G9" s="19"/>
      <c r="H9" s="19"/>
      <c r="I9" s="19"/>
      <c r="J9" s="19"/>
      <c r="K9" s="19"/>
      <c r="L9" s="20"/>
      <c r="M9" s="20"/>
      <c r="N9" s="20">
        <v>3708.7453635684433</v>
      </c>
      <c r="O9" s="20">
        <v>3584.700505978265</v>
      </c>
      <c r="P9" s="21">
        <v>3447.7427916968099</v>
      </c>
      <c r="Q9" s="22">
        <v>3355.1942301830795</v>
      </c>
      <c r="R9" s="23">
        <v>3198.8039607720307</v>
      </c>
      <c r="S9" s="22">
        <v>3090.3915434910191</v>
      </c>
      <c r="T9" s="24">
        <v>4574.9970115403839</v>
      </c>
      <c r="U9" s="24">
        <v>4415.5107233497492</v>
      </c>
      <c r="V9" s="24">
        <v>4253.7108803816745</v>
      </c>
      <c r="W9" s="23">
        <v>4089.583601307495</v>
      </c>
    </row>
    <row r="10" spans="1:23">
      <c r="B10" s="25"/>
      <c r="C10" s="10" t="s">
        <v>41</v>
      </c>
      <c r="D10" s="25" t="s">
        <v>40</v>
      </c>
      <c r="E10" s="26" t="s">
        <v>22</v>
      </c>
      <c r="F10" s="27"/>
      <c r="G10" s="27"/>
      <c r="H10" s="27"/>
      <c r="I10" s="27"/>
      <c r="J10" s="27"/>
      <c r="K10" s="27"/>
      <c r="L10" s="28"/>
      <c r="M10" s="28"/>
      <c r="N10" s="28">
        <v>29.1779346977812</v>
      </c>
      <c r="O10" s="28">
        <v>16.597018373983737</v>
      </c>
      <c r="P10" s="29">
        <v>62.589909703253483</v>
      </c>
      <c r="Q10" s="30">
        <v>0</v>
      </c>
      <c r="R10" s="31">
        <v>0</v>
      </c>
      <c r="S10" s="30">
        <v>1677.002</v>
      </c>
      <c r="T10" s="32">
        <v>67.806411999999995</v>
      </c>
      <c r="U10" s="32">
        <v>68.213250471999999</v>
      </c>
      <c r="V10" s="32">
        <v>68.622529974832005</v>
      </c>
      <c r="W10" s="31">
        <v>69.034265154680995</v>
      </c>
    </row>
    <row r="11" spans="1:23">
      <c r="B11" s="25"/>
      <c r="C11" s="10" t="s">
        <v>42</v>
      </c>
      <c r="D11" s="25" t="s">
        <v>40</v>
      </c>
      <c r="E11" s="26" t="s">
        <v>22</v>
      </c>
      <c r="F11" s="27"/>
      <c r="G11" s="27"/>
      <c r="H11" s="27"/>
      <c r="I11" s="27"/>
      <c r="J11" s="27"/>
      <c r="K11" s="27"/>
      <c r="L11" s="28"/>
      <c r="M11" s="28"/>
      <c r="N11" s="28"/>
      <c r="O11" s="28"/>
      <c r="P11" s="29"/>
      <c r="Q11" s="30"/>
      <c r="R11" s="31"/>
      <c r="S11" s="30"/>
      <c r="T11" s="32"/>
      <c r="U11" s="32"/>
      <c r="V11" s="32"/>
      <c r="W11" s="31"/>
    </row>
    <row r="12" spans="1:23">
      <c r="B12" s="25"/>
      <c r="C12" s="10" t="s">
        <v>43</v>
      </c>
      <c r="D12" s="25" t="s">
        <v>40</v>
      </c>
      <c r="E12" s="26" t="s">
        <v>22</v>
      </c>
      <c r="F12" s="27"/>
      <c r="G12" s="27"/>
      <c r="H12" s="27"/>
      <c r="I12" s="27"/>
      <c r="J12" s="27"/>
      <c r="K12" s="27"/>
      <c r="L12" s="28"/>
      <c r="M12" s="28"/>
      <c r="N12" s="28"/>
      <c r="O12" s="28"/>
      <c r="P12" s="29"/>
      <c r="Q12" s="30"/>
      <c r="R12" s="31"/>
      <c r="S12" s="30"/>
      <c r="T12" s="32"/>
      <c r="U12" s="32"/>
      <c r="V12" s="32"/>
      <c r="W12" s="31"/>
    </row>
    <row r="13" spans="1:23">
      <c r="B13" s="25"/>
      <c r="C13" s="10" t="s">
        <v>44</v>
      </c>
      <c r="D13" s="25" t="s">
        <v>40</v>
      </c>
      <c r="E13" s="26" t="s">
        <v>22</v>
      </c>
      <c r="F13" s="27"/>
      <c r="G13" s="27"/>
      <c r="H13" s="27"/>
      <c r="I13" s="27"/>
      <c r="J13" s="27"/>
      <c r="K13" s="27"/>
      <c r="L13" s="28"/>
      <c r="M13" s="28"/>
      <c r="N13" s="28">
        <v>153.22279228795929</v>
      </c>
      <c r="O13" s="28">
        <v>153.55473265543898</v>
      </c>
      <c r="P13" s="29">
        <v>155.1384712169837</v>
      </c>
      <c r="Q13" s="30">
        <v>156.39026941104879</v>
      </c>
      <c r="R13" s="31">
        <v>156.39026941104879</v>
      </c>
      <c r="S13" s="30">
        <v>192.39653195063499</v>
      </c>
      <c r="T13" s="32">
        <v>227.29270019063497</v>
      </c>
      <c r="U13" s="32">
        <v>230.01309344007498</v>
      </c>
      <c r="V13" s="32">
        <v>232.74980904901162</v>
      </c>
      <c r="W13" s="31">
        <v>235.5029449516019</v>
      </c>
    </row>
    <row r="14" spans="1:23">
      <c r="B14" s="25"/>
      <c r="C14" s="10" t="s">
        <v>45</v>
      </c>
      <c r="D14" s="25" t="s">
        <v>40</v>
      </c>
      <c r="E14" s="26" t="s">
        <v>22</v>
      </c>
      <c r="F14" s="27"/>
      <c r="G14" s="27"/>
      <c r="H14" s="27"/>
      <c r="I14" s="27"/>
      <c r="J14" s="27"/>
      <c r="K14" s="27"/>
      <c r="L14" s="28"/>
      <c r="M14" s="28">
        <v>3708.7453635684433</v>
      </c>
      <c r="N14" s="28">
        <v>3584.700505978265</v>
      </c>
      <c r="O14" s="28">
        <v>3447.7427916968099</v>
      </c>
      <c r="P14" s="29">
        <v>3355.1942301830795</v>
      </c>
      <c r="Q14" s="30">
        <v>3198.8039607720307</v>
      </c>
      <c r="R14" s="31">
        <v>3042.4136913609818</v>
      </c>
      <c r="S14" s="30">
        <v>4574.9970115403839</v>
      </c>
      <c r="T14" s="32">
        <v>4415.5107233497492</v>
      </c>
      <c r="U14" s="32">
        <v>4253.7108803816745</v>
      </c>
      <c r="V14" s="32">
        <v>4089.583601307495</v>
      </c>
      <c r="W14" s="31">
        <v>3923.1149215105738</v>
      </c>
    </row>
    <row r="15" spans="1:23">
      <c r="B15" s="33"/>
      <c r="C15" s="34" t="s">
        <v>46</v>
      </c>
      <c r="D15" s="33" t="s">
        <v>40</v>
      </c>
      <c r="E15" s="35" t="s">
        <v>22</v>
      </c>
      <c r="F15" s="36"/>
      <c r="G15" s="36"/>
      <c r="H15" s="36"/>
      <c r="I15" s="36"/>
      <c r="J15" s="36"/>
      <c r="K15" s="36"/>
      <c r="L15" s="37"/>
      <c r="M15" s="37"/>
      <c r="N15" s="37">
        <v>3646.7229347733542</v>
      </c>
      <c r="O15" s="37">
        <v>3516.2216488375375</v>
      </c>
      <c r="P15" s="38">
        <v>3401.4685109399447</v>
      </c>
      <c r="Q15" s="39">
        <v>3276.9990954775549</v>
      </c>
      <c r="R15" s="40">
        <v>3120.6088260665065</v>
      </c>
      <c r="S15" s="39">
        <v>3832.6942775157013</v>
      </c>
      <c r="T15" s="41">
        <v>4495.2538674450661</v>
      </c>
      <c r="U15" s="41">
        <v>4334.6108018657123</v>
      </c>
      <c r="V15" s="41">
        <v>4171.6472408445843</v>
      </c>
      <c r="W15" s="40">
        <v>4006.3492614090346</v>
      </c>
    </row>
    <row r="16" spans="1:23">
      <c r="B16" s="42"/>
      <c r="C16" s="43"/>
      <c r="D16" s="44"/>
      <c r="E16" s="44"/>
      <c r="F16" s="45"/>
      <c r="G16" s="46"/>
      <c r="H16" s="46"/>
      <c r="I16" s="46"/>
      <c r="J16" s="46"/>
      <c r="K16" s="46"/>
      <c r="L16" s="47"/>
      <c r="M16" s="47"/>
      <c r="N16" s="47"/>
      <c r="O16" s="47"/>
      <c r="P16" s="48"/>
      <c r="Q16" s="49"/>
      <c r="R16" s="48"/>
      <c r="S16" s="49"/>
      <c r="T16" s="47"/>
      <c r="U16" s="47"/>
      <c r="V16" s="47"/>
      <c r="W16" s="48"/>
    </row>
    <row r="17" spans="2:23">
      <c r="B17" s="15" t="s">
        <v>47</v>
      </c>
      <c r="C17" s="18" t="s">
        <v>39</v>
      </c>
      <c r="D17" s="17" t="s">
        <v>40</v>
      </c>
      <c r="E17" s="18" t="s">
        <v>22</v>
      </c>
      <c r="F17" s="50"/>
      <c r="G17" s="19"/>
      <c r="H17" s="19"/>
      <c r="I17" s="19"/>
      <c r="J17" s="19"/>
      <c r="K17" s="19"/>
      <c r="L17" s="20"/>
      <c r="M17" s="20"/>
      <c r="N17" s="20">
        <v>8463.3620280238392</v>
      </c>
      <c r="O17" s="20">
        <v>8318.2814068435891</v>
      </c>
      <c r="P17" s="21">
        <v>6778.2509357764211</v>
      </c>
      <c r="Q17" s="22">
        <v>5524.3884169944122</v>
      </c>
      <c r="R17" s="23">
        <v>4111.9524941935806</v>
      </c>
      <c r="S17" s="22">
        <v>4773.7377739461499</v>
      </c>
      <c r="T17" s="24">
        <v>9016.755805600751</v>
      </c>
      <c r="U17" s="24">
        <v>12667.643925283634</v>
      </c>
      <c r="V17" s="24">
        <v>12740.576558824232</v>
      </c>
      <c r="W17" s="23">
        <v>11801.7481648428</v>
      </c>
    </row>
    <row r="18" spans="2:23">
      <c r="B18" s="25"/>
      <c r="C18" s="26" t="s">
        <v>41</v>
      </c>
      <c r="D18" s="25" t="s">
        <v>40</v>
      </c>
      <c r="E18" s="26" t="s">
        <v>22</v>
      </c>
      <c r="F18" s="51"/>
      <c r="G18" s="27"/>
      <c r="H18" s="27"/>
      <c r="I18" s="27"/>
      <c r="J18" s="27"/>
      <c r="K18" s="27"/>
      <c r="L18" s="28"/>
      <c r="M18" s="28"/>
      <c r="N18" s="28">
        <v>3902.4594420198928</v>
      </c>
      <c r="O18" s="28">
        <v>803.5123249593496</v>
      </c>
      <c r="P18" s="29">
        <v>1271.7388932284593</v>
      </c>
      <c r="Q18" s="30">
        <v>825.09922000000006</v>
      </c>
      <c r="R18" s="31">
        <v>2606.0504123199494</v>
      </c>
      <c r="S18" s="30">
        <v>6721.2519419351092</v>
      </c>
      <c r="T18" s="32">
        <v>6895.6699618045741</v>
      </c>
      <c r="U18" s="32">
        <v>4083.3627226290241</v>
      </c>
      <c r="V18" s="32">
        <v>3571.632221615605</v>
      </c>
      <c r="W18" s="31">
        <v>3172.9225777817583</v>
      </c>
    </row>
    <row r="19" spans="2:23">
      <c r="B19" s="25"/>
      <c r="C19" s="10" t="s">
        <v>42</v>
      </c>
      <c r="D19" s="25" t="s">
        <v>40</v>
      </c>
      <c r="E19" s="26" t="s">
        <v>22</v>
      </c>
      <c r="F19" s="51"/>
      <c r="G19" s="27"/>
      <c r="H19" s="27"/>
      <c r="I19" s="27"/>
      <c r="J19" s="27"/>
      <c r="K19" s="27"/>
      <c r="L19" s="28"/>
      <c r="M19" s="28"/>
      <c r="N19" s="28"/>
      <c r="O19" s="28"/>
      <c r="P19" s="29"/>
      <c r="Q19" s="30"/>
      <c r="R19" s="31"/>
      <c r="S19" s="30"/>
      <c r="T19" s="32"/>
      <c r="U19" s="32"/>
      <c r="V19" s="32"/>
      <c r="W19" s="31"/>
    </row>
    <row r="20" spans="2:23">
      <c r="B20" s="25"/>
      <c r="C20" s="10" t="s">
        <v>43</v>
      </c>
      <c r="D20" s="25" t="s">
        <v>40</v>
      </c>
      <c r="E20" s="26" t="s">
        <v>22</v>
      </c>
      <c r="F20" s="51"/>
      <c r="G20" s="27"/>
      <c r="H20" s="27"/>
      <c r="I20" s="27"/>
      <c r="J20" s="27"/>
      <c r="K20" s="27"/>
      <c r="L20" s="28"/>
      <c r="M20" s="28"/>
      <c r="N20" s="28"/>
      <c r="O20" s="28"/>
      <c r="P20" s="29"/>
      <c r="Q20" s="30"/>
      <c r="R20" s="31"/>
      <c r="S20" s="30"/>
      <c r="T20" s="32"/>
      <c r="U20" s="32"/>
      <c r="V20" s="32"/>
      <c r="W20" s="31"/>
    </row>
    <row r="21" spans="2:23">
      <c r="B21" s="25"/>
      <c r="C21" s="10" t="s">
        <v>44</v>
      </c>
      <c r="D21" s="25" t="s">
        <v>40</v>
      </c>
      <c r="E21" s="26" t="s">
        <v>22</v>
      </c>
      <c r="F21" s="51"/>
      <c r="G21" s="27"/>
      <c r="H21" s="27"/>
      <c r="I21" s="27"/>
      <c r="J21" s="27"/>
      <c r="K21" s="27"/>
      <c r="L21" s="28"/>
      <c r="M21" s="28"/>
      <c r="N21" s="28">
        <v>4047.5400632001488</v>
      </c>
      <c r="O21" s="28">
        <v>2343.5427960265174</v>
      </c>
      <c r="P21" s="29">
        <v>2525.6014120104683</v>
      </c>
      <c r="Q21" s="30">
        <v>2237.5351428008316</v>
      </c>
      <c r="R21" s="31">
        <v>2018.3766753291225</v>
      </c>
      <c r="S21" s="30">
        <v>2478.233910280509</v>
      </c>
      <c r="T21" s="32">
        <v>3244.781842121693</v>
      </c>
      <c r="U21" s="32">
        <v>4010.4300890884251</v>
      </c>
      <c r="V21" s="32">
        <v>4510.4606155970359</v>
      </c>
      <c r="W21" s="31">
        <v>4836.3903234406516</v>
      </c>
    </row>
    <row r="22" spans="2:23">
      <c r="B22" s="25"/>
      <c r="C22" s="26" t="s">
        <v>45</v>
      </c>
      <c r="D22" s="25" t="s">
        <v>40</v>
      </c>
      <c r="E22" s="26" t="s">
        <v>22</v>
      </c>
      <c r="F22" s="51"/>
      <c r="G22" s="27"/>
      <c r="H22" s="27"/>
      <c r="I22" s="27"/>
      <c r="J22" s="27"/>
      <c r="K22" s="27"/>
      <c r="L22" s="28"/>
      <c r="M22" s="28">
        <v>8463.3620280238447</v>
      </c>
      <c r="N22" s="28">
        <v>8318.2814068435891</v>
      </c>
      <c r="O22" s="28">
        <v>6778.2509357764211</v>
      </c>
      <c r="P22" s="29">
        <v>5524.3884169944122</v>
      </c>
      <c r="Q22" s="30">
        <v>4111.9524941935806</v>
      </c>
      <c r="R22" s="31">
        <v>4699.6262311844075</v>
      </c>
      <c r="S22" s="30">
        <v>9016.755805600751</v>
      </c>
      <c r="T22" s="32">
        <v>12667.643925283634</v>
      </c>
      <c r="U22" s="32">
        <v>12740.576558824232</v>
      </c>
      <c r="V22" s="32">
        <v>11801.7481648428</v>
      </c>
      <c r="W22" s="31">
        <v>10138.280419183908</v>
      </c>
    </row>
    <row r="23" spans="2:23">
      <c r="B23" s="33"/>
      <c r="C23" s="35" t="s">
        <v>46</v>
      </c>
      <c r="D23" s="33" t="s">
        <v>40</v>
      </c>
      <c r="E23" s="35" t="s">
        <v>22</v>
      </c>
      <c r="F23" s="52"/>
      <c r="G23" s="36"/>
      <c r="H23" s="36"/>
      <c r="I23" s="36"/>
      <c r="J23" s="36"/>
      <c r="K23" s="36"/>
      <c r="L23" s="37"/>
      <c r="M23" s="37"/>
      <c r="N23" s="37">
        <v>8390.8217174337169</v>
      </c>
      <c r="O23" s="37">
        <v>7548.2661713100051</v>
      </c>
      <c r="P23" s="38">
        <v>6151.3196763854166</v>
      </c>
      <c r="Q23" s="39">
        <v>4818.1704555939959</v>
      </c>
      <c r="R23" s="40">
        <v>4405.7893626889945</v>
      </c>
      <c r="S23" s="39">
        <v>6895.2467897734505</v>
      </c>
      <c r="T23" s="41">
        <v>10842.199865442191</v>
      </c>
      <c r="U23" s="41">
        <v>12704.110242053932</v>
      </c>
      <c r="V23" s="41">
        <v>12271.162361833516</v>
      </c>
      <c r="W23" s="40">
        <v>10970.014292013355</v>
      </c>
    </row>
    <row r="24" spans="2:23">
      <c r="B24" s="42"/>
      <c r="C24" s="43"/>
      <c r="D24" s="42"/>
      <c r="E24" s="43"/>
      <c r="F24" s="45"/>
      <c r="G24" s="46"/>
      <c r="H24" s="46"/>
      <c r="I24" s="46"/>
      <c r="J24" s="46"/>
      <c r="K24" s="46"/>
      <c r="L24" s="47"/>
      <c r="M24" s="47"/>
      <c r="N24" s="47"/>
      <c r="O24" s="47"/>
      <c r="P24" s="48"/>
      <c r="Q24" s="49"/>
      <c r="R24" s="48"/>
      <c r="S24" s="49"/>
      <c r="T24" s="47"/>
      <c r="U24" s="47"/>
      <c r="V24" s="47"/>
      <c r="W24" s="48"/>
    </row>
    <row r="25" spans="2:23">
      <c r="B25" s="15" t="s">
        <v>48</v>
      </c>
      <c r="C25" s="18" t="s">
        <v>39</v>
      </c>
      <c r="D25" s="17" t="s">
        <v>40</v>
      </c>
      <c r="E25" s="18" t="s">
        <v>22</v>
      </c>
      <c r="F25" s="50"/>
      <c r="G25" s="19"/>
      <c r="H25" s="19"/>
      <c r="I25" s="19"/>
      <c r="J25" s="19"/>
      <c r="K25" s="19"/>
      <c r="L25" s="20"/>
      <c r="M25" s="20"/>
      <c r="N25" s="20">
        <v>0</v>
      </c>
      <c r="O25" s="20">
        <v>0</v>
      </c>
      <c r="P25" s="21">
        <v>0</v>
      </c>
      <c r="Q25" s="22">
        <v>0</v>
      </c>
      <c r="R25" s="23">
        <v>0</v>
      </c>
      <c r="S25" s="22">
        <v>20931.496079586988</v>
      </c>
      <c r="T25" s="24">
        <v>15698.622059690242</v>
      </c>
      <c r="U25" s="24">
        <v>10465.748039793496</v>
      </c>
      <c r="V25" s="24">
        <v>5232.8740198967489</v>
      </c>
      <c r="W25" s="23">
        <v>0</v>
      </c>
    </row>
    <row r="26" spans="2:23">
      <c r="B26" s="25"/>
      <c r="C26" s="26" t="s">
        <v>41</v>
      </c>
      <c r="D26" s="25" t="s">
        <v>40</v>
      </c>
      <c r="E26" s="26" t="s">
        <v>22</v>
      </c>
      <c r="F26" s="51"/>
      <c r="G26" s="27"/>
      <c r="H26" s="27"/>
      <c r="I26" s="27"/>
      <c r="J26" s="27"/>
      <c r="K26" s="27"/>
      <c r="L26" s="28"/>
      <c r="M26" s="28"/>
      <c r="N26" s="28">
        <v>0</v>
      </c>
      <c r="O26" s="28">
        <v>0</v>
      </c>
      <c r="P26" s="29">
        <v>0</v>
      </c>
      <c r="Q26" s="30">
        <v>0</v>
      </c>
      <c r="R26" s="31">
        <v>25758.172288610051</v>
      </c>
      <c r="S26" s="30">
        <v>0</v>
      </c>
      <c r="T26" s="32">
        <v>0</v>
      </c>
      <c r="U26" s="32">
        <v>0</v>
      </c>
      <c r="V26" s="32">
        <v>0</v>
      </c>
      <c r="W26" s="31">
        <v>0</v>
      </c>
    </row>
    <row r="27" spans="2:23">
      <c r="B27" s="25"/>
      <c r="C27" s="26" t="s">
        <v>42</v>
      </c>
      <c r="D27" s="25" t="s">
        <v>40</v>
      </c>
      <c r="E27" s="26" t="s">
        <v>22</v>
      </c>
      <c r="F27" s="51"/>
      <c r="G27" s="27"/>
      <c r="H27" s="27"/>
      <c r="I27" s="27"/>
      <c r="J27" s="27"/>
      <c r="K27" s="27"/>
      <c r="L27" s="28"/>
      <c r="M27" s="28"/>
      <c r="N27" s="28"/>
      <c r="O27" s="28"/>
      <c r="P27" s="29"/>
      <c r="Q27" s="30"/>
      <c r="R27" s="31"/>
      <c r="S27" s="30"/>
      <c r="T27" s="32"/>
      <c r="U27" s="32"/>
      <c r="V27" s="32"/>
      <c r="W27" s="31"/>
    </row>
    <row r="28" spans="2:23">
      <c r="B28" s="25"/>
      <c r="C28" s="26" t="s">
        <v>49</v>
      </c>
      <c r="D28" s="25" t="s">
        <v>40</v>
      </c>
      <c r="E28" s="26" t="s">
        <v>22</v>
      </c>
      <c r="F28" s="51"/>
      <c r="G28" s="27"/>
      <c r="H28" s="27"/>
      <c r="I28" s="27"/>
      <c r="J28" s="27"/>
      <c r="K28" s="27"/>
      <c r="L28" s="28"/>
      <c r="M28" s="28"/>
      <c r="N28" s="28"/>
      <c r="O28" s="28"/>
      <c r="P28" s="29"/>
      <c r="Q28" s="30"/>
      <c r="R28" s="31"/>
      <c r="S28" s="30"/>
      <c r="T28" s="32"/>
      <c r="U28" s="32"/>
      <c r="V28" s="32"/>
      <c r="W28" s="31"/>
    </row>
    <row r="29" spans="2:23">
      <c r="B29" s="25"/>
      <c r="C29" s="10" t="s">
        <v>44</v>
      </c>
      <c r="D29" s="25" t="s">
        <v>40</v>
      </c>
      <c r="E29" s="26" t="s">
        <v>22</v>
      </c>
      <c r="F29" s="51"/>
      <c r="G29" s="27"/>
      <c r="H29" s="27"/>
      <c r="I29" s="27"/>
      <c r="J29" s="27"/>
      <c r="K29" s="27"/>
      <c r="L29" s="28"/>
      <c r="M29" s="28"/>
      <c r="N29" s="28">
        <v>0</v>
      </c>
      <c r="O29" s="28">
        <v>0</v>
      </c>
      <c r="P29" s="29">
        <v>0</v>
      </c>
      <c r="Q29" s="30">
        <v>0</v>
      </c>
      <c r="R29" s="31">
        <v>5151.6344577220098</v>
      </c>
      <c r="S29" s="30">
        <v>5232.8740198967471</v>
      </c>
      <c r="T29" s="32">
        <v>5232.8740198967471</v>
      </c>
      <c r="U29" s="32">
        <v>5232.8740198967471</v>
      </c>
      <c r="V29" s="32">
        <v>5232.8740198967471</v>
      </c>
      <c r="W29" s="31">
        <v>0</v>
      </c>
    </row>
    <row r="30" spans="2:23">
      <c r="B30" s="25"/>
      <c r="C30" s="26" t="s">
        <v>45</v>
      </c>
      <c r="D30" s="25" t="s">
        <v>40</v>
      </c>
      <c r="E30" s="26" t="s">
        <v>22</v>
      </c>
      <c r="F30" s="51"/>
      <c r="G30" s="27"/>
      <c r="H30" s="27"/>
      <c r="I30" s="27"/>
      <c r="J30" s="27"/>
      <c r="K30" s="27"/>
      <c r="L30" s="28"/>
      <c r="M30" s="28">
        <v>0</v>
      </c>
      <c r="N30" s="28">
        <v>0</v>
      </c>
      <c r="O30" s="28">
        <v>0</v>
      </c>
      <c r="P30" s="29">
        <v>0</v>
      </c>
      <c r="Q30" s="30">
        <v>0</v>
      </c>
      <c r="R30" s="31">
        <v>20606.537830888039</v>
      </c>
      <c r="S30" s="30">
        <v>15698.622059690242</v>
      </c>
      <c r="T30" s="32">
        <v>10465.748039793496</v>
      </c>
      <c r="U30" s="32">
        <v>5232.8740198967489</v>
      </c>
      <c r="V30" s="32">
        <v>0</v>
      </c>
      <c r="W30" s="31">
        <v>0</v>
      </c>
    </row>
    <row r="31" spans="2:23">
      <c r="B31" s="33"/>
      <c r="C31" s="35" t="s">
        <v>46</v>
      </c>
      <c r="D31" s="33" t="s">
        <v>40</v>
      </c>
      <c r="E31" s="35" t="s">
        <v>22</v>
      </c>
      <c r="F31" s="52"/>
      <c r="G31" s="36"/>
      <c r="H31" s="36"/>
      <c r="I31" s="36"/>
      <c r="J31" s="36"/>
      <c r="K31" s="36"/>
      <c r="L31" s="37"/>
      <c r="M31" s="37"/>
      <c r="N31" s="37">
        <v>0</v>
      </c>
      <c r="O31" s="37">
        <v>0</v>
      </c>
      <c r="P31" s="38">
        <v>0</v>
      </c>
      <c r="Q31" s="39">
        <v>0</v>
      </c>
      <c r="R31" s="40">
        <v>10303.26891544402</v>
      </c>
      <c r="S31" s="39">
        <v>18315.059069638613</v>
      </c>
      <c r="T31" s="41">
        <v>13082.185049741869</v>
      </c>
      <c r="U31" s="41">
        <v>7849.3110298451229</v>
      </c>
      <c r="V31" s="41">
        <v>2616.4370099483745</v>
      </c>
      <c r="W31" s="40">
        <v>0</v>
      </c>
    </row>
    <row r="32" spans="2:23">
      <c r="B32" s="44"/>
      <c r="C32" s="44"/>
      <c r="D32" s="44"/>
      <c r="E32" s="44"/>
      <c r="F32" s="53"/>
      <c r="G32" s="54"/>
      <c r="H32" s="54"/>
      <c r="I32" s="54"/>
      <c r="J32" s="54"/>
      <c r="K32" s="54"/>
      <c r="L32" s="55"/>
      <c r="M32" s="55"/>
      <c r="N32" s="55"/>
      <c r="O32" s="55"/>
      <c r="P32" s="56"/>
      <c r="Q32" s="47"/>
      <c r="R32" s="47"/>
      <c r="S32" s="47"/>
      <c r="T32" s="47"/>
      <c r="U32" s="47"/>
      <c r="V32" s="47"/>
      <c r="W32" s="47"/>
    </row>
    <row r="33" spans="2:23">
      <c r="B33" s="15" t="s">
        <v>20</v>
      </c>
      <c r="C33" s="18" t="s">
        <v>39</v>
      </c>
      <c r="D33" s="17" t="s">
        <v>40</v>
      </c>
      <c r="E33" s="16" t="s">
        <v>22</v>
      </c>
      <c r="F33" s="50"/>
      <c r="G33" s="19"/>
      <c r="H33" s="19"/>
      <c r="I33" s="19"/>
      <c r="J33" s="27"/>
      <c r="K33" s="27"/>
      <c r="L33" s="28"/>
      <c r="M33" s="20">
        <v>0</v>
      </c>
      <c r="N33" s="20">
        <v>12172.107391592288</v>
      </c>
      <c r="O33" s="20">
        <v>11902.981912821855</v>
      </c>
      <c r="P33" s="21">
        <v>10225.993727473231</v>
      </c>
      <c r="Q33" s="24">
        <v>8879.5826471774926</v>
      </c>
      <c r="R33" s="23">
        <v>7310.7564549656108</v>
      </c>
      <c r="S33" s="22">
        <v>28795.62539702416</v>
      </c>
      <c r="T33" s="24">
        <v>29290.374876831378</v>
      </c>
      <c r="U33" s="24">
        <v>27548.902688426879</v>
      </c>
      <c r="V33" s="24">
        <v>22227.161459102655</v>
      </c>
      <c r="W33" s="23">
        <v>15891.331766150295</v>
      </c>
    </row>
    <row r="34" spans="2:23">
      <c r="B34" s="25"/>
      <c r="C34" s="26" t="s">
        <v>41</v>
      </c>
      <c r="D34" s="25" t="s">
        <v>40</v>
      </c>
      <c r="E34" s="10" t="s">
        <v>22</v>
      </c>
      <c r="F34" s="51"/>
      <c r="G34" s="27"/>
      <c r="H34" s="27"/>
      <c r="I34" s="27"/>
      <c r="J34" s="27"/>
      <c r="K34" s="27"/>
      <c r="L34" s="28"/>
      <c r="M34" s="28">
        <v>0</v>
      </c>
      <c r="N34" s="28">
        <v>3931.6373767176738</v>
      </c>
      <c r="O34" s="28">
        <v>820.1093433333333</v>
      </c>
      <c r="P34" s="29">
        <v>1334.3288029317127</v>
      </c>
      <c r="Q34" s="32">
        <v>825.09922000000006</v>
      </c>
      <c r="R34" s="31">
        <v>28364.22270093</v>
      </c>
      <c r="S34" s="30">
        <v>8398.2539419351087</v>
      </c>
      <c r="T34" s="32">
        <v>6963.476373804574</v>
      </c>
      <c r="U34" s="32">
        <v>4151.5759731010239</v>
      </c>
      <c r="V34" s="32">
        <v>3640.2547515904371</v>
      </c>
      <c r="W34" s="31">
        <v>3241.9568429364394</v>
      </c>
    </row>
    <row r="35" spans="2:23">
      <c r="B35" s="25"/>
      <c r="C35" s="26" t="s">
        <v>42</v>
      </c>
      <c r="D35" s="25" t="s">
        <v>40</v>
      </c>
      <c r="E35" s="10" t="s">
        <v>22</v>
      </c>
      <c r="F35" s="51"/>
      <c r="G35" s="27"/>
      <c r="H35" s="27"/>
      <c r="I35" s="27"/>
      <c r="J35" s="27"/>
      <c r="K35" s="27"/>
      <c r="L35" s="28"/>
      <c r="M35" s="28">
        <v>0</v>
      </c>
      <c r="N35" s="28">
        <v>0</v>
      </c>
      <c r="O35" s="28">
        <v>0</v>
      </c>
      <c r="P35" s="29">
        <v>0</v>
      </c>
      <c r="Q35" s="32">
        <v>0</v>
      </c>
      <c r="R35" s="31">
        <v>0</v>
      </c>
      <c r="S35" s="30">
        <v>0</v>
      </c>
      <c r="T35" s="32">
        <v>0</v>
      </c>
      <c r="U35" s="32">
        <v>0</v>
      </c>
      <c r="V35" s="32">
        <v>0</v>
      </c>
      <c r="W35" s="31">
        <v>0</v>
      </c>
    </row>
    <row r="36" spans="2:23">
      <c r="B36" s="25"/>
      <c r="C36" s="26" t="s">
        <v>49</v>
      </c>
      <c r="D36" s="25" t="s">
        <v>40</v>
      </c>
      <c r="E36" s="10" t="s">
        <v>22</v>
      </c>
      <c r="F36" s="51"/>
      <c r="G36" s="27"/>
      <c r="H36" s="27"/>
      <c r="I36" s="27"/>
      <c r="J36" s="27"/>
      <c r="K36" s="27"/>
      <c r="L36" s="28"/>
      <c r="M36" s="28">
        <v>0</v>
      </c>
      <c r="N36" s="28">
        <v>0</v>
      </c>
      <c r="O36" s="28">
        <v>0</v>
      </c>
      <c r="P36" s="29">
        <v>0</v>
      </c>
      <c r="Q36" s="32">
        <v>0</v>
      </c>
      <c r="R36" s="31">
        <v>0</v>
      </c>
      <c r="S36" s="30">
        <v>0</v>
      </c>
      <c r="T36" s="32">
        <v>0</v>
      </c>
      <c r="U36" s="32">
        <v>0</v>
      </c>
      <c r="V36" s="32">
        <v>0</v>
      </c>
      <c r="W36" s="31">
        <v>0</v>
      </c>
    </row>
    <row r="37" spans="2:23">
      <c r="B37" s="25"/>
      <c r="C37" s="10" t="s">
        <v>44</v>
      </c>
      <c r="D37" s="25" t="s">
        <v>40</v>
      </c>
      <c r="E37" s="10" t="s">
        <v>22</v>
      </c>
      <c r="F37" s="51"/>
      <c r="G37" s="27"/>
      <c r="H37" s="27"/>
      <c r="I37" s="27"/>
      <c r="J37" s="27"/>
      <c r="K37" s="27"/>
      <c r="L37" s="28"/>
      <c r="M37" s="28">
        <v>0</v>
      </c>
      <c r="N37" s="28">
        <v>4200.7628554881085</v>
      </c>
      <c r="O37" s="28">
        <v>2497.0975286819562</v>
      </c>
      <c r="P37" s="29">
        <v>2680.7398832274521</v>
      </c>
      <c r="Q37" s="32">
        <v>2393.9254122118805</v>
      </c>
      <c r="R37" s="31">
        <v>7326.4014024621811</v>
      </c>
      <c r="S37" s="30">
        <v>7903.5044621278912</v>
      </c>
      <c r="T37" s="32">
        <v>8704.948562209076</v>
      </c>
      <c r="U37" s="32">
        <v>9473.3172024252472</v>
      </c>
      <c r="V37" s="32">
        <v>9976.0844445427938</v>
      </c>
      <c r="W37" s="31">
        <v>5071.893268392254</v>
      </c>
    </row>
    <row r="38" spans="2:23">
      <c r="B38" s="25"/>
      <c r="C38" s="26" t="s">
        <v>45</v>
      </c>
      <c r="D38" s="25" t="s">
        <v>40</v>
      </c>
      <c r="E38" s="10" t="s">
        <v>22</v>
      </c>
      <c r="F38" s="51"/>
      <c r="G38" s="27"/>
      <c r="H38" s="27"/>
      <c r="I38" s="27"/>
      <c r="J38" s="27"/>
      <c r="K38" s="27"/>
      <c r="L38" s="28"/>
      <c r="M38" s="28">
        <v>12172.107391592288</v>
      </c>
      <c r="N38" s="28">
        <v>11902.981912821855</v>
      </c>
      <c r="O38" s="28">
        <v>10225.993727473231</v>
      </c>
      <c r="P38" s="29">
        <v>8879.5826471774926</v>
      </c>
      <c r="Q38" s="32">
        <v>7310.7564549656108</v>
      </c>
      <c r="R38" s="31">
        <v>28348.577753433427</v>
      </c>
      <c r="S38" s="30">
        <v>29290.374876831378</v>
      </c>
      <c r="T38" s="32">
        <v>27548.902688426879</v>
      </c>
      <c r="U38" s="32">
        <v>22227.161459102655</v>
      </c>
      <c r="V38" s="32">
        <v>15891.331766150295</v>
      </c>
      <c r="W38" s="31">
        <v>14061.395340694482</v>
      </c>
    </row>
    <row r="39" spans="2:23">
      <c r="B39" s="33"/>
      <c r="C39" s="35" t="s">
        <v>46</v>
      </c>
      <c r="D39" s="33" t="s">
        <v>40</v>
      </c>
      <c r="E39" s="34" t="s">
        <v>22</v>
      </c>
      <c r="F39" s="52"/>
      <c r="G39" s="36"/>
      <c r="H39" s="36"/>
      <c r="I39" s="36"/>
      <c r="J39" s="36"/>
      <c r="K39" s="36"/>
      <c r="L39" s="37"/>
      <c r="M39" s="37">
        <v>0</v>
      </c>
      <c r="N39" s="37">
        <v>12037.544652207071</v>
      </c>
      <c r="O39" s="37">
        <v>11064.487820147542</v>
      </c>
      <c r="P39" s="38">
        <v>9552.7881873253609</v>
      </c>
      <c r="Q39" s="41">
        <v>8095.1695510715508</v>
      </c>
      <c r="R39" s="40">
        <v>17829.667104199521</v>
      </c>
      <c r="S39" s="39">
        <v>29043.000136927767</v>
      </c>
      <c r="T39" s="41">
        <v>28419.638782629125</v>
      </c>
      <c r="U39" s="41">
        <v>24888.032073764763</v>
      </c>
      <c r="V39" s="41">
        <v>19059.246612626474</v>
      </c>
      <c r="W39" s="40">
        <v>14976.36355342239</v>
      </c>
    </row>
    <row r="40" spans="2:23">
      <c r="B40" s="42"/>
      <c r="C40" s="43"/>
      <c r="D40" s="44"/>
      <c r="E40" s="44"/>
      <c r="F40" s="45"/>
      <c r="G40" s="46"/>
      <c r="H40" s="46"/>
      <c r="I40" s="46"/>
      <c r="J40" s="46"/>
      <c r="K40" s="46"/>
      <c r="L40" s="47"/>
      <c r="M40" s="47"/>
      <c r="N40" s="47"/>
      <c r="O40" s="47"/>
      <c r="P40" s="48"/>
      <c r="Q40" s="49"/>
      <c r="R40" s="48"/>
      <c r="S40" s="49"/>
      <c r="T40" s="47"/>
      <c r="U40" s="47"/>
      <c r="V40" s="47"/>
      <c r="W40" s="48"/>
    </row>
    <row r="41" spans="2:23">
      <c r="B41" s="15" t="s">
        <v>50</v>
      </c>
      <c r="C41" s="18" t="s">
        <v>39</v>
      </c>
      <c r="D41" s="17" t="s">
        <v>40</v>
      </c>
      <c r="E41" s="18" t="s">
        <v>22</v>
      </c>
      <c r="F41" s="50"/>
      <c r="G41" s="19"/>
      <c r="H41" s="19"/>
      <c r="I41" s="19"/>
      <c r="J41" s="19"/>
      <c r="K41" s="19"/>
      <c r="L41" s="20"/>
      <c r="M41" s="20"/>
      <c r="N41" s="20">
        <v>2408</v>
      </c>
      <c r="O41" s="20">
        <v>4166.7631199650732</v>
      </c>
      <c r="P41" s="21">
        <v>6817.2840750240912</v>
      </c>
      <c r="Q41" s="22">
        <v>8641.7504318240899</v>
      </c>
      <c r="R41" s="23">
        <v>10005.953973642272</v>
      </c>
      <c r="S41" s="22">
        <v>12480.189982867885</v>
      </c>
      <c r="T41" s="24">
        <v>16635.220752098652</v>
      </c>
      <c r="U41" s="24">
        <v>19633.443829021729</v>
      </c>
      <c r="V41" s="24">
        <v>21221.066905944808</v>
      </c>
      <c r="W41" s="23">
        <v>15393.789982867886</v>
      </c>
    </row>
    <row r="42" spans="2:23">
      <c r="B42" s="25"/>
      <c r="C42" s="26" t="s">
        <v>41</v>
      </c>
      <c r="D42" s="25" t="s">
        <v>40</v>
      </c>
      <c r="E42" s="26" t="s">
        <v>22</v>
      </c>
      <c r="F42" s="51"/>
      <c r="G42" s="27"/>
      <c r="H42" s="27"/>
      <c r="I42" s="27"/>
      <c r="J42" s="27"/>
      <c r="K42" s="27"/>
      <c r="L42" s="28"/>
      <c r="M42" s="28"/>
      <c r="N42" s="28">
        <v>1758.7631199650732</v>
      </c>
      <c r="O42" s="28">
        <v>2650.520955059018</v>
      </c>
      <c r="P42" s="29">
        <v>1824.4663567999996</v>
      </c>
      <c r="Q42" s="30">
        <v>1364.203541818182</v>
      </c>
      <c r="R42" s="31">
        <v>3478.3346234349551</v>
      </c>
      <c r="S42" s="30">
        <v>5074.2615384615383</v>
      </c>
      <c r="T42" s="32">
        <v>3991.1461538461544</v>
      </c>
      <c r="U42" s="32">
        <v>3299.6846153846159</v>
      </c>
      <c r="V42" s="32">
        <v>2784.1153846153852</v>
      </c>
      <c r="W42" s="31">
        <v>2149.7307692307691</v>
      </c>
    </row>
    <row r="43" spans="2:23">
      <c r="B43" s="25"/>
      <c r="C43" s="26" t="s">
        <v>51</v>
      </c>
      <c r="D43" s="25" t="s">
        <v>40</v>
      </c>
      <c r="E43" s="26" t="s">
        <v>22</v>
      </c>
      <c r="F43" s="51"/>
      <c r="G43" s="27"/>
      <c r="H43" s="27"/>
      <c r="I43" s="27"/>
      <c r="J43" s="27"/>
      <c r="K43" s="27"/>
      <c r="L43" s="28"/>
      <c r="M43" s="28"/>
      <c r="N43" s="28">
        <v>0</v>
      </c>
      <c r="O43" s="28">
        <v>0</v>
      </c>
      <c r="P43" s="29">
        <v>0</v>
      </c>
      <c r="Q43" s="30">
        <v>0</v>
      </c>
      <c r="R43" s="31">
        <v>824.30899999999997</v>
      </c>
      <c r="S43" s="30">
        <v>919.23076923076917</v>
      </c>
      <c r="T43" s="32">
        <v>992.92307692307702</v>
      </c>
      <c r="U43" s="32">
        <v>1712.0615384615387</v>
      </c>
      <c r="V43" s="32">
        <v>8611.3923076923093</v>
      </c>
      <c r="W43" s="31">
        <v>9013.3538461538483</v>
      </c>
    </row>
    <row r="44" spans="2:23">
      <c r="B44" s="25"/>
      <c r="C44" s="26" t="s">
        <v>49</v>
      </c>
      <c r="D44" s="25" t="s">
        <v>40</v>
      </c>
      <c r="E44" s="26" t="s">
        <v>22</v>
      </c>
      <c r="F44" s="51"/>
      <c r="G44" s="27"/>
      <c r="H44" s="27"/>
      <c r="I44" s="27"/>
      <c r="J44" s="27"/>
      <c r="K44" s="27"/>
      <c r="L44" s="28"/>
      <c r="M44" s="28"/>
      <c r="N44" s="28">
        <v>0</v>
      </c>
      <c r="O44" s="28">
        <v>0</v>
      </c>
      <c r="P44" s="29">
        <v>0</v>
      </c>
      <c r="Q44" s="30">
        <v>0</v>
      </c>
      <c r="R44" s="31">
        <v>386.92464999999993</v>
      </c>
      <c r="S44" s="30">
        <v>0</v>
      </c>
      <c r="T44" s="32">
        <v>0</v>
      </c>
      <c r="U44" s="32">
        <v>0</v>
      </c>
      <c r="V44" s="32">
        <v>0</v>
      </c>
      <c r="W44" s="31">
        <v>0</v>
      </c>
    </row>
    <row r="45" spans="2:23">
      <c r="B45" s="25"/>
      <c r="C45" s="10" t="s">
        <v>44</v>
      </c>
      <c r="D45" s="25" t="s">
        <v>40</v>
      </c>
      <c r="E45" s="26" t="s">
        <v>22</v>
      </c>
      <c r="F45" s="51"/>
      <c r="G45" s="27"/>
      <c r="H45" s="27"/>
      <c r="I45" s="27"/>
      <c r="J45" s="27"/>
      <c r="K45" s="27"/>
      <c r="L45" s="28"/>
      <c r="M45" s="28"/>
      <c r="N45" s="28"/>
      <c r="O45" s="28"/>
      <c r="P45" s="29"/>
      <c r="Q45" s="30"/>
      <c r="R45" s="31"/>
      <c r="S45" s="30"/>
      <c r="T45" s="32"/>
      <c r="U45" s="32"/>
      <c r="V45" s="32"/>
      <c r="W45" s="31"/>
    </row>
    <row r="46" spans="2:23">
      <c r="B46" s="25"/>
      <c r="C46" s="26" t="s">
        <v>45</v>
      </c>
      <c r="D46" s="25" t="s">
        <v>40</v>
      </c>
      <c r="E46" s="26" t="s">
        <v>22</v>
      </c>
      <c r="F46" s="51"/>
      <c r="G46" s="27"/>
      <c r="H46" s="27"/>
      <c r="I46" s="27"/>
      <c r="J46" s="27"/>
      <c r="K46" s="27"/>
      <c r="L46" s="28"/>
      <c r="M46" s="28">
        <v>2408</v>
      </c>
      <c r="N46" s="28">
        <v>4166.7631199650732</v>
      </c>
      <c r="O46" s="28">
        <v>6817.2840750240912</v>
      </c>
      <c r="P46" s="29">
        <v>8641.7504318240899</v>
      </c>
      <c r="Q46" s="30">
        <v>10005.953973642272</v>
      </c>
      <c r="R46" s="31">
        <v>12273.054947077228</v>
      </c>
      <c r="S46" s="30">
        <v>16635.220752098652</v>
      </c>
      <c r="T46" s="32">
        <v>19633.443829021729</v>
      </c>
      <c r="U46" s="32">
        <v>21221.066905944808</v>
      </c>
      <c r="V46" s="32">
        <v>15393.789982867886</v>
      </c>
      <c r="W46" s="31">
        <v>8530.1669059448068</v>
      </c>
    </row>
    <row r="47" spans="2:23">
      <c r="B47" s="33"/>
      <c r="C47" s="26" t="s">
        <v>46</v>
      </c>
      <c r="D47" s="33" t="s">
        <v>40</v>
      </c>
      <c r="E47" s="35" t="s">
        <v>22</v>
      </c>
      <c r="F47" s="52"/>
      <c r="G47" s="36"/>
      <c r="H47" s="36"/>
      <c r="I47" s="36"/>
      <c r="J47" s="36"/>
      <c r="K47" s="36"/>
      <c r="L47" s="37"/>
      <c r="M47" s="37"/>
      <c r="N47" s="37">
        <v>3287.3815599825366</v>
      </c>
      <c r="O47" s="37">
        <v>5492.0235974945826</v>
      </c>
      <c r="P47" s="38">
        <v>7729.5172534240901</v>
      </c>
      <c r="Q47" s="30">
        <v>9323.8522027331819</v>
      </c>
      <c r="R47" s="31">
        <v>11139.504460359749</v>
      </c>
      <c r="S47" s="39">
        <v>14557.705367483268</v>
      </c>
      <c r="T47" s="41">
        <v>18134.332290560189</v>
      </c>
      <c r="U47" s="41">
        <v>20427.255367483267</v>
      </c>
      <c r="V47" s="41">
        <v>18307.428444406345</v>
      </c>
      <c r="W47" s="40">
        <v>11961.978444406346</v>
      </c>
    </row>
    <row r="48" spans="2:23">
      <c r="B48" s="25"/>
      <c r="C48" s="16"/>
      <c r="F48" s="57"/>
      <c r="G48" s="58"/>
      <c r="H48" s="58"/>
      <c r="I48" s="58"/>
      <c r="J48" s="58"/>
      <c r="K48" s="58"/>
      <c r="L48" s="59"/>
      <c r="M48" s="59"/>
      <c r="N48" s="59"/>
      <c r="O48" s="59"/>
      <c r="P48" s="59"/>
      <c r="Q48" s="60"/>
      <c r="R48" s="60"/>
      <c r="S48" s="59"/>
      <c r="T48" s="59"/>
      <c r="U48" s="59"/>
      <c r="V48" s="59"/>
      <c r="W48" s="61"/>
    </row>
  </sheetData>
  <mergeCells count="5">
    <mergeCell ref="B7:B8"/>
    <mergeCell ref="C7:C8"/>
    <mergeCell ref="F7:P7"/>
    <mergeCell ref="Q7:R7"/>
    <mergeCell ref="S7:W7"/>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
  <sheetViews>
    <sheetView showGridLines="0" workbookViewId="0">
      <selection activeCell="E14" sqref="E14"/>
    </sheetView>
  </sheetViews>
  <sheetFormatPr defaultColWidth="8.6640625" defaultRowHeight="14.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H25"/>
  <sheetViews>
    <sheetView showGridLines="0" zoomScaleNormal="100" workbookViewId="0"/>
  </sheetViews>
  <sheetFormatPr defaultColWidth="8.6640625" defaultRowHeight="14.25"/>
  <cols>
    <col min="1" max="1" width="58.6640625" customWidth="1"/>
    <col min="2" max="2" width="8.6640625" customWidth="1"/>
    <col min="3" max="3" width="10.6640625" customWidth="1"/>
    <col min="4" max="23" width="10.33203125" customWidth="1"/>
  </cols>
  <sheetData>
    <row r="1" spans="1:14" ht="18">
      <c r="A1" s="256" t="s">
        <v>273</v>
      </c>
      <c r="B1" s="257"/>
    </row>
    <row r="2" spans="1:14">
      <c r="B2" s="1" t="s">
        <v>14</v>
      </c>
      <c r="C2" s="388" t="s">
        <v>15</v>
      </c>
      <c r="D2" s="388" t="s">
        <v>16</v>
      </c>
      <c r="E2" s="388" t="s">
        <v>0</v>
      </c>
      <c r="F2" s="388" t="s">
        <v>1</v>
      </c>
      <c r="G2" s="388" t="s">
        <v>2</v>
      </c>
      <c r="H2" s="388" t="s">
        <v>3</v>
      </c>
      <c r="I2" s="388" t="s">
        <v>4</v>
      </c>
      <c r="J2" s="227"/>
      <c r="K2" s="227"/>
      <c r="L2" s="227"/>
      <c r="M2" s="227"/>
      <c r="N2" s="227"/>
    </row>
    <row r="3" spans="1:14">
      <c r="A3" t="s">
        <v>294</v>
      </c>
      <c r="B3" t="s">
        <v>13</v>
      </c>
      <c r="C3" s="230">
        <v>99.6</v>
      </c>
      <c r="D3" s="230">
        <v>99.9</v>
      </c>
      <c r="E3" s="230">
        <v>100.6</v>
      </c>
      <c r="F3" s="230">
        <v>103.2</v>
      </c>
      <c r="G3" s="230">
        <v>105.5</v>
      </c>
      <c r="H3" s="230">
        <v>107.6</v>
      </c>
      <c r="I3" s="230">
        <v>108.6</v>
      </c>
      <c r="J3" s="230"/>
      <c r="K3" s="230"/>
      <c r="L3" s="230"/>
      <c r="M3" s="230"/>
      <c r="N3" s="230"/>
    </row>
    <row r="4" spans="1:14">
      <c r="C4" s="230"/>
      <c r="D4" s="230"/>
      <c r="E4" s="230"/>
      <c r="F4" s="230"/>
      <c r="G4" s="230"/>
      <c r="H4" s="230"/>
      <c r="I4" s="230"/>
      <c r="J4" s="230"/>
      <c r="K4" s="230"/>
      <c r="L4" s="230"/>
      <c r="M4" s="230"/>
      <c r="N4" s="230"/>
    </row>
    <row r="5" spans="1:14">
      <c r="B5" s="1"/>
      <c r="C5" s="388" t="s">
        <v>35</v>
      </c>
      <c r="D5" s="388" t="s">
        <v>36</v>
      </c>
      <c r="E5" s="388" t="s">
        <v>37</v>
      </c>
      <c r="F5" s="388" t="s">
        <v>15</v>
      </c>
      <c r="G5" s="388" t="s">
        <v>16</v>
      </c>
      <c r="H5" s="388" t="s">
        <v>0</v>
      </c>
      <c r="I5" s="388" t="s">
        <v>1</v>
      </c>
      <c r="J5" s="388" t="s">
        <v>2</v>
      </c>
      <c r="K5" s="388" t="s">
        <v>3</v>
      </c>
      <c r="L5" s="388" t="s">
        <v>4</v>
      </c>
      <c r="M5" s="227"/>
      <c r="N5" s="227"/>
    </row>
    <row r="6" spans="1:14">
      <c r="A6" t="s">
        <v>255</v>
      </c>
      <c r="B6" t="s">
        <v>13</v>
      </c>
      <c r="C6">
        <v>234.4</v>
      </c>
      <c r="D6">
        <v>242.5</v>
      </c>
      <c r="E6">
        <v>249.5</v>
      </c>
      <c r="F6" s="230">
        <v>255.7</v>
      </c>
      <c r="G6" s="230">
        <v>258</v>
      </c>
      <c r="H6" s="230">
        <v>261.39999999999998</v>
      </c>
      <c r="I6" s="230">
        <v>270.60000000000002</v>
      </c>
      <c r="J6" s="230">
        <v>279.7</v>
      </c>
      <c r="K6" s="230">
        <v>288.2</v>
      </c>
      <c r="L6" s="230">
        <v>292.60000000000002</v>
      </c>
      <c r="M6" s="230"/>
      <c r="N6" s="230"/>
    </row>
    <row r="8" spans="1:14">
      <c r="A8" s="1" t="s">
        <v>831</v>
      </c>
      <c r="C8" s="388" t="s">
        <v>5</v>
      </c>
      <c r="D8" s="388" t="s">
        <v>6</v>
      </c>
      <c r="E8" s="388" t="s">
        <v>7</v>
      </c>
      <c r="F8" s="388" t="s">
        <v>8</v>
      </c>
      <c r="G8" s="388" t="s">
        <v>9</v>
      </c>
      <c r="H8" s="388" t="s">
        <v>236</v>
      </c>
    </row>
    <row r="9" spans="1:14">
      <c r="A9" t="s">
        <v>765</v>
      </c>
      <c r="B9" t="s">
        <v>12</v>
      </c>
      <c r="C9" s="2">
        <v>1.2E-2</v>
      </c>
      <c r="D9" s="2">
        <v>1.6E-2</v>
      </c>
      <c r="E9" s="2">
        <v>1.7000000000000001E-2</v>
      </c>
      <c r="F9" s="2">
        <v>1.9E-2</v>
      </c>
      <c r="G9" s="2">
        <v>0.02</v>
      </c>
      <c r="H9" s="4"/>
      <c r="I9" s="4"/>
    </row>
    <row r="10" spans="1:14">
      <c r="A10" t="s">
        <v>700</v>
      </c>
      <c r="B10" s="285" t="s">
        <v>12</v>
      </c>
      <c r="C10" s="2">
        <v>2.1000000000000001E-2</v>
      </c>
      <c r="D10" s="2">
        <v>0.02</v>
      </c>
      <c r="E10" s="2">
        <v>2.1000000000000001E-2</v>
      </c>
      <c r="F10" s="2"/>
      <c r="G10" s="2"/>
    </row>
    <row r="11" spans="1:14">
      <c r="A11" t="s">
        <v>832</v>
      </c>
      <c r="B11" s="285" t="s">
        <v>12</v>
      </c>
      <c r="C11" s="380">
        <v>1.7000000000000001E-2</v>
      </c>
      <c r="D11" s="2">
        <v>2.1999999999999999E-2</v>
      </c>
      <c r="E11" s="2">
        <v>2.1000000000000001E-2</v>
      </c>
      <c r="F11" s="2">
        <v>2.1000000000000001E-2</v>
      </c>
      <c r="G11" s="2"/>
    </row>
    <row r="12" spans="1:14">
      <c r="B12" s="285"/>
      <c r="C12" s="2"/>
      <c r="D12" s="2"/>
      <c r="E12" s="2"/>
      <c r="F12" s="2"/>
      <c r="G12" s="2"/>
    </row>
    <row r="13" spans="1:14">
      <c r="A13" s="1" t="s">
        <v>405</v>
      </c>
    </row>
    <row r="14" spans="1:14">
      <c r="A14" t="s">
        <v>701</v>
      </c>
      <c r="B14" t="s">
        <v>12</v>
      </c>
      <c r="C14" s="2">
        <v>0.02</v>
      </c>
    </row>
    <row r="18" spans="3:34">
      <c r="D18" s="285"/>
      <c r="E18" s="285"/>
      <c r="F18" s="285"/>
      <c r="G18" s="285"/>
    </row>
    <row r="19" spans="3:34">
      <c r="C19" s="285"/>
      <c r="D19" s="285"/>
      <c r="E19" s="285"/>
      <c r="F19" s="285"/>
      <c r="G19" s="285"/>
    </row>
    <row r="20" spans="3:34">
      <c r="C20" s="285"/>
      <c r="D20" s="285"/>
      <c r="E20" s="285"/>
      <c r="F20" s="285"/>
      <c r="G20" s="285"/>
    </row>
    <row r="21" spans="3:34">
      <c r="C21" s="285"/>
      <c r="D21" s="285"/>
      <c r="E21" s="285"/>
      <c r="F21" s="285"/>
      <c r="G21" s="285"/>
    </row>
    <row r="22" spans="3:34">
      <c r="C22" s="285"/>
      <c r="D22" s="285"/>
      <c r="E22" s="285"/>
      <c r="F22" s="285"/>
      <c r="G22" s="285"/>
    </row>
    <row r="25" spans="3:34">
      <c r="AA25" s="221"/>
      <c r="AB25" s="221"/>
      <c r="AC25" s="221"/>
      <c r="AD25" s="221"/>
      <c r="AE25" s="221"/>
      <c r="AF25" s="221"/>
      <c r="AG25" s="221"/>
      <c r="AH25" s="221"/>
    </row>
  </sheetData>
  <pageMargins left="0.7" right="0.7" top="0.75" bottom="0.75"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Z117"/>
  <sheetViews>
    <sheetView showGridLines="0" zoomScale="90" zoomScaleNormal="90" workbookViewId="0"/>
  </sheetViews>
  <sheetFormatPr defaultColWidth="8.6640625" defaultRowHeight="14.25"/>
  <cols>
    <col min="1" max="1" width="62" customWidth="1"/>
    <col min="3" max="3" width="11.6640625" customWidth="1"/>
    <col min="4" max="23" width="11.46484375" customWidth="1"/>
  </cols>
  <sheetData>
    <row r="1" spans="1:26" ht="21">
      <c r="A1" s="294" t="s">
        <v>445</v>
      </c>
      <c r="B1" s="256"/>
    </row>
    <row r="3" spans="1:26" ht="18">
      <c r="A3" s="256" t="s">
        <v>329</v>
      </c>
      <c r="B3" s="257"/>
    </row>
    <row r="4" spans="1:26">
      <c r="B4" s="389" t="s">
        <v>10</v>
      </c>
      <c r="C4" s="389" t="s">
        <v>11</v>
      </c>
      <c r="D4" s="390"/>
    </row>
    <row r="5" spans="1:26">
      <c r="A5" s="1" t="s">
        <v>339</v>
      </c>
      <c r="B5" s="63" t="s">
        <v>40</v>
      </c>
      <c r="C5" s="221" t="s">
        <v>217</v>
      </c>
      <c r="D5" s="249">
        <v>16552.87475049901</v>
      </c>
      <c r="X5" s="221"/>
      <c r="Y5" s="221"/>
      <c r="Z5" s="221"/>
    </row>
    <row r="7" spans="1:26">
      <c r="B7" s="390"/>
      <c r="C7" s="391" t="s">
        <v>285</v>
      </c>
      <c r="D7" s="392">
        <v>39387</v>
      </c>
      <c r="E7" s="392">
        <v>39539</v>
      </c>
      <c r="F7" s="392">
        <v>39722</v>
      </c>
      <c r="G7" s="392">
        <v>40087</v>
      </c>
      <c r="H7" s="392">
        <v>40269</v>
      </c>
      <c r="I7" s="392">
        <v>40452</v>
      </c>
      <c r="J7" s="392">
        <v>40817</v>
      </c>
      <c r="K7" s="392">
        <v>41183</v>
      </c>
      <c r="L7" s="392">
        <v>41548</v>
      </c>
      <c r="M7" s="392">
        <v>41913</v>
      </c>
      <c r="N7" s="392">
        <v>42278</v>
      </c>
      <c r="O7" s="392">
        <v>42644</v>
      </c>
      <c r="P7" s="392">
        <v>43009</v>
      </c>
      <c r="Q7" s="392">
        <v>43374</v>
      </c>
      <c r="R7" s="392">
        <v>43739</v>
      </c>
    </row>
    <row r="8" spans="1:26">
      <c r="B8" s="390"/>
      <c r="C8" s="391" t="s">
        <v>286</v>
      </c>
      <c r="D8" s="392">
        <v>39538</v>
      </c>
      <c r="E8" s="392">
        <v>39721</v>
      </c>
      <c r="F8" s="392">
        <v>40086</v>
      </c>
      <c r="G8" s="392">
        <v>40268</v>
      </c>
      <c r="H8" s="392">
        <v>40451</v>
      </c>
      <c r="I8" s="392">
        <v>40816</v>
      </c>
      <c r="J8" s="392">
        <v>41182</v>
      </c>
      <c r="K8" s="392">
        <v>41547</v>
      </c>
      <c r="L8" s="392">
        <v>41912</v>
      </c>
      <c r="M8" s="392">
        <v>42277</v>
      </c>
      <c r="N8" s="392">
        <v>42643</v>
      </c>
      <c r="O8" s="392">
        <v>43008</v>
      </c>
      <c r="P8" s="392">
        <v>43373</v>
      </c>
      <c r="Q8" s="392">
        <v>43738</v>
      </c>
      <c r="R8" s="392">
        <v>44104</v>
      </c>
    </row>
    <row r="9" spans="1:26">
      <c r="B9" s="389" t="s">
        <v>10</v>
      </c>
      <c r="C9" s="389" t="s">
        <v>11</v>
      </c>
      <c r="D9" s="390"/>
      <c r="E9" s="390"/>
      <c r="F9" s="390"/>
      <c r="G9" s="390"/>
      <c r="H9" s="390"/>
      <c r="I9" s="390"/>
      <c r="J9" s="390"/>
      <c r="K9" s="390"/>
      <c r="L9" s="390"/>
      <c r="M9" s="390"/>
      <c r="N9" s="390"/>
      <c r="O9" s="390"/>
      <c r="P9" s="390"/>
      <c r="Q9" s="390"/>
      <c r="R9" s="390"/>
    </row>
    <row r="10" spans="1:26">
      <c r="A10" s="1" t="s">
        <v>287</v>
      </c>
      <c r="B10" s="1"/>
      <c r="C10" s="1"/>
    </row>
    <row r="11" spans="1:26">
      <c r="A11" t="s">
        <v>218</v>
      </c>
      <c r="B11" s="63" t="s">
        <v>40</v>
      </c>
      <c r="C11" s="221" t="s">
        <v>217</v>
      </c>
      <c r="D11" s="66">
        <v>2116.7832446290081</v>
      </c>
      <c r="E11" s="66">
        <v>1262.6801421709006</v>
      </c>
      <c r="F11" s="66">
        <v>2346.1860374137109</v>
      </c>
      <c r="G11" s="66">
        <v>1466.300982890592</v>
      </c>
      <c r="H11" s="66"/>
      <c r="I11" s="66"/>
      <c r="J11" s="66"/>
      <c r="K11" s="66"/>
      <c r="L11" s="66"/>
      <c r="M11" s="66"/>
      <c r="N11" s="66"/>
      <c r="O11" s="66"/>
      <c r="P11" s="66"/>
      <c r="Q11" s="66"/>
      <c r="R11" s="66"/>
    </row>
    <row r="12" spans="1:26">
      <c r="A12" t="s">
        <v>288</v>
      </c>
      <c r="B12" s="63" t="s">
        <v>40</v>
      </c>
      <c r="C12" s="221" t="s">
        <v>217</v>
      </c>
      <c r="D12" s="66"/>
      <c r="E12" s="66"/>
      <c r="F12" s="66">
        <v>1308.4658697862565</v>
      </c>
      <c r="G12" s="66">
        <v>1568.8724418280337</v>
      </c>
      <c r="H12" s="66"/>
      <c r="I12" s="66"/>
      <c r="J12" s="66"/>
      <c r="K12" s="66"/>
      <c r="L12" s="66"/>
      <c r="M12" s="66"/>
      <c r="N12" s="66"/>
      <c r="O12" s="66"/>
      <c r="P12" s="66"/>
      <c r="Q12" s="66"/>
      <c r="R12" s="66"/>
    </row>
    <row r="13" spans="1:26">
      <c r="A13" t="s">
        <v>274</v>
      </c>
      <c r="B13" s="63" t="s">
        <v>40</v>
      </c>
      <c r="C13" s="221" t="s">
        <v>217</v>
      </c>
      <c r="D13" s="66"/>
      <c r="E13" s="66"/>
      <c r="F13" s="66"/>
      <c r="G13" s="66"/>
      <c r="H13" s="66">
        <v>1047.8191202872531</v>
      </c>
      <c r="I13" s="66">
        <v>1013.3891382405744</v>
      </c>
      <c r="J13" s="66">
        <v>1365.722621184919</v>
      </c>
      <c r="K13" s="66">
        <v>281.17818671454216</v>
      </c>
      <c r="L13" s="66">
        <v>1589.5175044883301</v>
      </c>
      <c r="M13" s="66">
        <v>418.89811490125669</v>
      </c>
      <c r="N13" s="66"/>
      <c r="O13" s="66"/>
      <c r="P13" s="66"/>
      <c r="Q13" s="66"/>
      <c r="R13" s="66"/>
    </row>
    <row r="14" spans="1:26">
      <c r="A14" t="s">
        <v>220</v>
      </c>
      <c r="B14" s="63" t="s">
        <v>40</v>
      </c>
      <c r="C14" s="221" t="s">
        <v>217</v>
      </c>
      <c r="D14" s="66">
        <v>687.15121839654023</v>
      </c>
      <c r="E14" s="66">
        <v>827.64373752494998</v>
      </c>
      <c r="F14" s="66">
        <v>1656.5634231536922</v>
      </c>
      <c r="G14" s="66">
        <v>828.28171157684608</v>
      </c>
      <c r="H14" s="66">
        <v>1034.5546719061877</v>
      </c>
      <c r="I14" s="66">
        <v>2069.1093438123753</v>
      </c>
      <c r="J14" s="66">
        <v>2069.1093438123753</v>
      </c>
      <c r="K14" s="66">
        <v>2069.1093438123753</v>
      </c>
      <c r="L14" s="66">
        <v>2069.1093438123753</v>
      </c>
      <c r="M14" s="66">
        <v>2069.1093438123753</v>
      </c>
      <c r="N14" s="66"/>
      <c r="O14" s="66"/>
      <c r="P14" s="66"/>
      <c r="Q14" s="66"/>
      <c r="R14" s="66"/>
    </row>
    <row r="15" spans="1:26">
      <c r="A15" t="s">
        <v>221</v>
      </c>
      <c r="B15" s="63" t="s">
        <v>40</v>
      </c>
      <c r="C15" s="221" t="s">
        <v>217</v>
      </c>
      <c r="D15" s="66"/>
      <c r="E15" s="66"/>
      <c r="F15" s="66">
        <v>71.046407396004938</v>
      </c>
      <c r="G15" s="66">
        <v>65.423293489312812</v>
      </c>
      <c r="H15" s="66"/>
      <c r="I15" s="66"/>
      <c r="J15" s="66"/>
      <c r="K15" s="66"/>
      <c r="L15" s="66"/>
      <c r="M15" s="66"/>
      <c r="N15" s="66"/>
      <c r="O15" s="66"/>
      <c r="P15" s="66"/>
      <c r="Q15" s="66"/>
      <c r="R15" s="66"/>
    </row>
    <row r="16" spans="1:26">
      <c r="A16" t="s">
        <v>222</v>
      </c>
      <c r="B16" s="63" t="s">
        <v>40</v>
      </c>
      <c r="C16" s="221" t="s">
        <v>217</v>
      </c>
      <c r="D16" s="66"/>
      <c r="E16" s="66"/>
      <c r="F16" s="66"/>
      <c r="G16" s="66">
        <v>12.377105725354388</v>
      </c>
      <c r="H16" s="66"/>
      <c r="I16" s="66"/>
      <c r="J16" s="66"/>
      <c r="K16" s="66"/>
      <c r="L16" s="66"/>
      <c r="M16" s="66"/>
      <c r="N16" s="66"/>
      <c r="O16" s="66"/>
      <c r="P16" s="66"/>
      <c r="Q16" s="66"/>
      <c r="R16" s="66"/>
    </row>
    <row r="17" spans="1:18">
      <c r="B17" s="63"/>
      <c r="C17" s="221"/>
      <c r="D17" s="66"/>
      <c r="E17" s="66"/>
      <c r="F17" s="66"/>
      <c r="G17" s="66"/>
      <c r="H17" s="66"/>
      <c r="I17" s="66"/>
      <c r="J17" s="66"/>
      <c r="K17" s="66"/>
      <c r="L17" s="66"/>
      <c r="M17" s="66"/>
      <c r="N17" s="66"/>
      <c r="O17" s="66"/>
      <c r="P17" s="66"/>
      <c r="Q17" s="66"/>
      <c r="R17" s="66"/>
    </row>
    <row r="18" spans="1:18">
      <c r="A18" s="1" t="s">
        <v>289</v>
      </c>
      <c r="C18" s="221"/>
      <c r="D18" s="5"/>
      <c r="E18" s="5"/>
      <c r="F18" s="5"/>
      <c r="G18" s="5"/>
      <c r="H18" s="5"/>
      <c r="I18" s="5"/>
      <c r="J18" s="5"/>
      <c r="K18" s="5"/>
      <c r="L18" s="5"/>
      <c r="M18" s="5"/>
      <c r="N18" s="5"/>
      <c r="O18" s="5"/>
      <c r="P18" s="5"/>
      <c r="Q18" s="5"/>
      <c r="R18" s="5"/>
    </row>
    <row r="19" spans="1:18">
      <c r="A19" t="s">
        <v>223</v>
      </c>
      <c r="B19" s="63" t="s">
        <v>40</v>
      </c>
      <c r="C19" s="221" t="s">
        <v>217</v>
      </c>
      <c r="D19" s="66"/>
      <c r="E19" s="66"/>
      <c r="F19" s="66"/>
      <c r="G19" s="66"/>
      <c r="H19" s="66"/>
      <c r="I19" s="66"/>
      <c r="J19" s="66"/>
      <c r="K19" s="66"/>
      <c r="L19" s="66"/>
      <c r="M19" s="66"/>
      <c r="N19" s="66">
        <v>1408.5</v>
      </c>
      <c r="O19" s="66">
        <v>1304.1000000000001</v>
      </c>
      <c r="P19" s="66">
        <v>1035</v>
      </c>
      <c r="Q19" s="66">
        <v>1369.8</v>
      </c>
      <c r="R19" s="66">
        <v>1717.1999999999998</v>
      </c>
    </row>
    <row r="20" spans="1:18">
      <c r="A20" t="s">
        <v>277</v>
      </c>
      <c r="B20" s="63" t="s">
        <v>40</v>
      </c>
      <c r="C20" s="221" t="s">
        <v>217</v>
      </c>
      <c r="D20" s="66"/>
      <c r="E20" s="66"/>
      <c r="F20" s="66"/>
      <c r="G20" s="66"/>
      <c r="H20" s="66"/>
      <c r="I20" s="66"/>
      <c r="J20" s="66"/>
      <c r="K20" s="66"/>
      <c r="L20" s="66"/>
      <c r="M20" s="66"/>
      <c r="N20" s="66">
        <v>3999.2616251784443</v>
      </c>
      <c r="O20" s="66">
        <v>1762.9726765238149</v>
      </c>
      <c r="P20" s="66">
        <v>1363.870779847397</v>
      </c>
      <c r="Q20" s="66">
        <v>1312.7862152154398</v>
      </c>
      <c r="R20" s="66">
        <v>1272.6674596050275</v>
      </c>
    </row>
    <row r="22" spans="1:18" ht="18">
      <c r="A22" s="256" t="s">
        <v>330</v>
      </c>
      <c r="B22" s="257"/>
    </row>
    <row r="23" spans="1:18">
      <c r="A23" s="1"/>
      <c r="B23" s="389" t="s">
        <v>10</v>
      </c>
      <c r="C23" s="389" t="s">
        <v>11</v>
      </c>
      <c r="D23" s="390"/>
    </row>
    <row r="24" spans="1:18">
      <c r="A24" s="1" t="s">
        <v>340</v>
      </c>
      <c r="B24" s="63" t="s">
        <v>40</v>
      </c>
      <c r="C24" s="221" t="s">
        <v>217</v>
      </c>
      <c r="D24" s="229">
        <v>0</v>
      </c>
    </row>
    <row r="25" spans="1:18">
      <c r="A25" s="1"/>
    </row>
    <row r="26" spans="1:18">
      <c r="B26" s="390"/>
      <c r="C26" s="391" t="s">
        <v>285</v>
      </c>
      <c r="D26" s="392">
        <v>39387</v>
      </c>
      <c r="E26" s="392">
        <v>39539</v>
      </c>
      <c r="F26" s="392">
        <v>39722</v>
      </c>
      <c r="G26" s="392">
        <v>40087</v>
      </c>
      <c r="H26" s="392">
        <v>40269</v>
      </c>
      <c r="I26" s="392">
        <v>40452</v>
      </c>
      <c r="J26" s="392">
        <v>40817</v>
      </c>
      <c r="K26" s="392">
        <v>41183</v>
      </c>
      <c r="L26" s="392">
        <v>41548</v>
      </c>
      <c r="M26" s="392">
        <v>41913</v>
      </c>
      <c r="N26" s="392">
        <v>42278</v>
      </c>
      <c r="O26" s="392">
        <v>42644</v>
      </c>
      <c r="P26" s="392">
        <v>43009</v>
      </c>
      <c r="Q26" s="392">
        <v>43374</v>
      </c>
      <c r="R26" s="392">
        <v>43739</v>
      </c>
    </row>
    <row r="27" spans="1:18">
      <c r="B27" s="390"/>
      <c r="C27" s="391" t="s">
        <v>286</v>
      </c>
      <c r="D27" s="392">
        <v>39538</v>
      </c>
      <c r="E27" s="392">
        <v>39721</v>
      </c>
      <c r="F27" s="392">
        <v>40086</v>
      </c>
      <c r="G27" s="392">
        <v>40268</v>
      </c>
      <c r="H27" s="392">
        <v>40451</v>
      </c>
      <c r="I27" s="392">
        <v>40816</v>
      </c>
      <c r="J27" s="392">
        <v>41182</v>
      </c>
      <c r="K27" s="392">
        <v>41547</v>
      </c>
      <c r="L27" s="392">
        <v>41912</v>
      </c>
      <c r="M27" s="392">
        <v>42277</v>
      </c>
      <c r="N27" s="392">
        <v>42643</v>
      </c>
      <c r="O27" s="392">
        <v>43008</v>
      </c>
      <c r="P27" s="392">
        <v>43373</v>
      </c>
      <c r="Q27" s="392">
        <v>43738</v>
      </c>
      <c r="R27" s="392">
        <v>44104</v>
      </c>
    </row>
    <row r="28" spans="1:18">
      <c r="B28" s="389" t="s">
        <v>10</v>
      </c>
      <c r="C28" s="389" t="s">
        <v>11</v>
      </c>
      <c r="D28" s="393"/>
      <c r="E28" s="393"/>
      <c r="F28" s="393"/>
      <c r="G28" s="393"/>
      <c r="H28" s="393"/>
      <c r="I28" s="393"/>
      <c r="J28" s="393"/>
      <c r="K28" s="393"/>
      <c r="L28" s="393"/>
      <c r="M28" s="393"/>
      <c r="N28" s="393"/>
      <c r="O28" s="393"/>
      <c r="P28" s="393"/>
      <c r="Q28" s="393"/>
      <c r="R28" s="393"/>
    </row>
    <row r="29" spans="1:18">
      <c r="A29" s="1" t="s">
        <v>287</v>
      </c>
      <c r="B29" s="1"/>
      <c r="C29" s="1"/>
      <c r="D29" s="5"/>
      <c r="E29" s="5"/>
      <c r="F29" s="5"/>
      <c r="G29" s="5"/>
      <c r="H29" s="5"/>
      <c r="I29" s="5"/>
      <c r="J29" s="5"/>
      <c r="K29" s="5"/>
      <c r="L29" s="5"/>
      <c r="M29" s="5"/>
      <c r="N29" s="5"/>
      <c r="O29" s="5"/>
      <c r="P29" s="5"/>
      <c r="Q29" s="5"/>
      <c r="R29" s="5"/>
    </row>
    <row r="30" spans="1:18">
      <c r="A30" t="s">
        <v>274</v>
      </c>
      <c r="B30" s="63" t="s">
        <v>40</v>
      </c>
      <c r="C30" s="221" t="s">
        <v>217</v>
      </c>
      <c r="D30" s="66"/>
      <c r="E30" s="66"/>
      <c r="F30" s="66"/>
      <c r="G30" s="66"/>
      <c r="H30" s="66">
        <v>0</v>
      </c>
      <c r="I30" s="66">
        <v>1454.0929084380609</v>
      </c>
      <c r="J30" s="66">
        <v>1454.0929084380609</v>
      </c>
      <c r="K30" s="66">
        <v>0</v>
      </c>
      <c r="L30" s="66">
        <v>0</v>
      </c>
      <c r="M30" s="66">
        <v>0</v>
      </c>
      <c r="N30" s="66"/>
      <c r="O30" s="66"/>
      <c r="P30" s="66"/>
      <c r="Q30" s="66"/>
      <c r="R30" s="66"/>
    </row>
    <row r="31" spans="1:18">
      <c r="A31" t="s">
        <v>275</v>
      </c>
      <c r="B31" s="63" t="s">
        <v>40</v>
      </c>
      <c r="C31" s="221" t="s">
        <v>217</v>
      </c>
      <c r="D31" s="66"/>
      <c r="E31" s="66"/>
      <c r="F31" s="66"/>
      <c r="G31" s="66"/>
      <c r="H31" s="66">
        <v>0</v>
      </c>
      <c r="I31" s="66">
        <v>1454.0929084380609</v>
      </c>
      <c r="J31" s="66">
        <v>1454.0929084380609</v>
      </c>
      <c r="K31" s="66">
        <v>0</v>
      </c>
      <c r="L31" s="66">
        <v>0</v>
      </c>
      <c r="M31" s="66">
        <v>0</v>
      </c>
      <c r="N31" s="66"/>
      <c r="O31" s="66"/>
      <c r="P31" s="66"/>
      <c r="Q31" s="66"/>
      <c r="R31" s="66"/>
    </row>
    <row r="32" spans="1:18">
      <c r="C32" s="221"/>
      <c r="D32" s="5"/>
      <c r="E32" s="5"/>
      <c r="F32" s="5"/>
      <c r="G32" s="5"/>
      <c r="H32" s="5"/>
      <c r="I32" s="5"/>
      <c r="J32" s="5"/>
      <c r="K32" s="5"/>
      <c r="L32" s="5"/>
      <c r="M32" s="5"/>
      <c r="N32" s="5"/>
      <c r="O32" s="5"/>
      <c r="P32" s="5"/>
      <c r="Q32" s="5"/>
      <c r="R32" s="5"/>
    </row>
    <row r="33" spans="1:18">
      <c r="A33" s="1" t="s">
        <v>289</v>
      </c>
      <c r="C33" s="221"/>
      <c r="D33" s="5"/>
      <c r="E33" s="5"/>
      <c r="F33" s="5"/>
      <c r="G33" s="5"/>
      <c r="H33" s="5"/>
      <c r="I33" s="5"/>
      <c r="J33" s="5"/>
      <c r="K33" s="5"/>
      <c r="L33" s="5"/>
      <c r="M33" s="5"/>
      <c r="N33" s="5"/>
      <c r="O33" s="5"/>
      <c r="P33" s="5"/>
      <c r="Q33" s="5"/>
      <c r="R33" s="5"/>
    </row>
    <row r="34" spans="1:18">
      <c r="A34" t="s">
        <v>276</v>
      </c>
      <c r="B34" s="63" t="s">
        <v>40</v>
      </c>
      <c r="C34" s="221" t="s">
        <v>217</v>
      </c>
      <c r="D34" s="261"/>
      <c r="E34" s="261"/>
      <c r="F34" s="261"/>
      <c r="G34" s="261"/>
      <c r="H34" s="261"/>
      <c r="I34" s="261"/>
      <c r="J34" s="261"/>
      <c r="K34" s="261"/>
      <c r="L34" s="261"/>
      <c r="M34" s="261"/>
      <c r="N34" s="261">
        <v>0</v>
      </c>
      <c r="O34" s="261">
        <v>0</v>
      </c>
      <c r="P34" s="261">
        <v>0</v>
      </c>
      <c r="Q34" s="261">
        <v>0</v>
      </c>
      <c r="R34" s="261">
        <v>0</v>
      </c>
    </row>
    <row r="35" spans="1:18">
      <c r="A35" t="s">
        <v>277</v>
      </c>
      <c r="B35" s="63" t="s">
        <v>40</v>
      </c>
      <c r="C35" s="221" t="s">
        <v>217</v>
      </c>
      <c r="D35" s="261"/>
      <c r="E35" s="261"/>
      <c r="F35" s="261"/>
      <c r="G35" s="261"/>
      <c r="H35" s="261"/>
      <c r="I35" s="261"/>
      <c r="J35" s="261"/>
      <c r="K35" s="261"/>
      <c r="L35" s="261"/>
      <c r="M35" s="261"/>
      <c r="N35" s="261">
        <v>116.32743267504486</v>
      </c>
      <c r="O35" s="261">
        <v>116.32743267504486</v>
      </c>
      <c r="P35" s="261">
        <v>116.32743267504486</v>
      </c>
      <c r="Q35" s="261">
        <v>116.32743267504486</v>
      </c>
      <c r="R35" s="261">
        <v>116.32743267504486</v>
      </c>
    </row>
    <row r="36" spans="1:18" s="285" customFormat="1"/>
    <row r="37" spans="1:18" ht="18">
      <c r="A37" s="256" t="s">
        <v>433</v>
      </c>
      <c r="B37" s="257"/>
    </row>
    <row r="38" spans="1:18">
      <c r="B38" s="389" t="s">
        <v>10</v>
      </c>
      <c r="C38" s="389" t="s">
        <v>11</v>
      </c>
      <c r="D38" s="388" t="s">
        <v>0</v>
      </c>
      <c r="E38" s="388" t="s">
        <v>1</v>
      </c>
      <c r="F38" s="388" t="s">
        <v>2</v>
      </c>
      <c r="G38" s="388" t="s">
        <v>3</v>
      </c>
      <c r="H38" s="388" t="s">
        <v>4</v>
      </c>
    </row>
    <row r="39" spans="1:18" s="285" customFormat="1">
      <c r="A39" s="285" t="s">
        <v>434</v>
      </c>
      <c r="B39" s="286" t="s">
        <v>40</v>
      </c>
      <c r="C39" s="221" t="s">
        <v>217</v>
      </c>
      <c r="G39" s="66">
        <v>1700</v>
      </c>
      <c r="H39" s="66"/>
    </row>
    <row r="40" spans="1:18" s="285" customFormat="1">
      <c r="A40" s="285" t="s">
        <v>435</v>
      </c>
      <c r="B40" s="286" t="s">
        <v>40</v>
      </c>
      <c r="C40" s="221" t="s">
        <v>217</v>
      </c>
      <c r="G40" s="66">
        <v>850</v>
      </c>
      <c r="H40" s="66">
        <v>850</v>
      </c>
    </row>
    <row r="41" spans="1:18" s="285" customFormat="1"/>
    <row r="42" spans="1:18">
      <c r="A42" s="1" t="s">
        <v>292</v>
      </c>
    </row>
    <row r="43" spans="1:18">
      <c r="A43" s="1" t="s">
        <v>293</v>
      </c>
      <c r="B43" s="389" t="s">
        <v>10</v>
      </c>
      <c r="C43" s="389" t="s">
        <v>11</v>
      </c>
      <c r="D43" s="388" t="s">
        <v>260</v>
      </c>
    </row>
    <row r="44" spans="1:18">
      <c r="A44" t="s">
        <v>47</v>
      </c>
      <c r="B44" s="63" t="s">
        <v>12</v>
      </c>
      <c r="D44" s="72">
        <v>1</v>
      </c>
    </row>
    <row r="45" spans="1:18">
      <c r="A45" t="s">
        <v>38</v>
      </c>
      <c r="B45" s="286" t="s">
        <v>12</v>
      </c>
      <c r="D45" s="72">
        <f>1-D44</f>
        <v>0</v>
      </c>
    </row>
    <row r="46" spans="1:18">
      <c r="B46" s="63"/>
      <c r="D46" s="66"/>
    </row>
    <row r="47" spans="1:18" s="285" customFormat="1"/>
    <row r="48" spans="1:18" s="285" customFormat="1"/>
    <row r="49" spans="1:23" s="285" customFormat="1" ht="21">
      <c r="A49" s="294" t="s">
        <v>446</v>
      </c>
    </row>
    <row r="50" spans="1:23" s="285" customFormat="1"/>
    <row r="51" spans="1:23" ht="18">
      <c r="A51" s="256" t="s">
        <v>214</v>
      </c>
      <c r="B51" s="257"/>
    </row>
    <row r="52" spans="1:23">
      <c r="B52" s="390"/>
      <c r="C52" s="391" t="s">
        <v>285</v>
      </c>
      <c r="D52" s="392">
        <v>39387</v>
      </c>
      <c r="E52" s="392">
        <v>39539</v>
      </c>
      <c r="F52" s="392">
        <v>39722</v>
      </c>
      <c r="G52" s="392">
        <v>40087</v>
      </c>
      <c r="H52" s="392">
        <v>40269</v>
      </c>
      <c r="I52" s="392">
        <v>40452</v>
      </c>
      <c r="J52" s="392">
        <v>40817</v>
      </c>
      <c r="K52" s="392">
        <v>41183</v>
      </c>
      <c r="L52" s="392">
        <v>41548</v>
      </c>
      <c r="M52" s="392">
        <v>41913</v>
      </c>
      <c r="N52" s="392">
        <v>42278</v>
      </c>
      <c r="O52" s="392">
        <v>42644</v>
      </c>
      <c r="P52" s="392">
        <v>43009</v>
      </c>
      <c r="Q52" s="392">
        <v>43374</v>
      </c>
      <c r="R52" s="392">
        <v>43739</v>
      </c>
      <c r="S52" s="392">
        <v>44105</v>
      </c>
      <c r="T52" s="392">
        <v>44470</v>
      </c>
      <c r="U52" s="392">
        <v>44835</v>
      </c>
      <c r="V52" s="392">
        <v>45200</v>
      </c>
      <c r="W52" s="392">
        <v>45566</v>
      </c>
    </row>
    <row r="53" spans="1:23">
      <c r="B53" s="389" t="s">
        <v>10</v>
      </c>
      <c r="C53" s="391" t="s">
        <v>286</v>
      </c>
      <c r="D53" s="392">
        <v>39538</v>
      </c>
      <c r="E53" s="392">
        <v>39721</v>
      </c>
      <c r="F53" s="392">
        <v>40086</v>
      </c>
      <c r="G53" s="392">
        <v>40268</v>
      </c>
      <c r="H53" s="392">
        <v>40451</v>
      </c>
      <c r="I53" s="392">
        <v>40816</v>
      </c>
      <c r="J53" s="392">
        <v>41182</v>
      </c>
      <c r="K53" s="392">
        <v>41547</v>
      </c>
      <c r="L53" s="392">
        <v>41912</v>
      </c>
      <c r="M53" s="392">
        <v>42277</v>
      </c>
      <c r="N53" s="392">
        <v>42643</v>
      </c>
      <c r="O53" s="392">
        <v>43008</v>
      </c>
      <c r="P53" s="392">
        <v>43373</v>
      </c>
      <c r="Q53" s="392">
        <v>43738</v>
      </c>
      <c r="R53" s="392">
        <v>44104</v>
      </c>
      <c r="S53" s="392">
        <v>44469</v>
      </c>
      <c r="T53" s="392">
        <v>44834</v>
      </c>
      <c r="U53" s="392">
        <v>45199</v>
      </c>
      <c r="V53" s="392">
        <v>45565</v>
      </c>
      <c r="W53" s="392">
        <v>45930</v>
      </c>
    </row>
    <row r="54" spans="1:23">
      <c r="A54" t="s">
        <v>215</v>
      </c>
      <c r="B54" t="s">
        <v>229</v>
      </c>
      <c r="D54" s="221">
        <v>10</v>
      </c>
      <c r="E54" s="221">
        <v>10</v>
      </c>
      <c r="F54" s="221">
        <v>10</v>
      </c>
      <c r="G54" s="221">
        <v>10</v>
      </c>
      <c r="H54" s="221">
        <v>8</v>
      </c>
      <c r="I54" s="221">
        <v>8</v>
      </c>
      <c r="J54" s="221">
        <v>8</v>
      </c>
      <c r="K54" s="221">
        <v>8</v>
      </c>
      <c r="L54" s="221">
        <v>8</v>
      </c>
      <c r="M54" s="221">
        <v>8</v>
      </c>
      <c r="N54" s="221">
        <v>5</v>
      </c>
      <c r="O54" s="221">
        <v>5</v>
      </c>
      <c r="P54" s="221">
        <v>5</v>
      </c>
      <c r="Q54" s="221">
        <v>5</v>
      </c>
      <c r="R54" s="221">
        <v>5</v>
      </c>
      <c r="S54" s="221">
        <v>5</v>
      </c>
      <c r="T54" s="221">
        <v>5</v>
      </c>
      <c r="U54" s="221">
        <v>5</v>
      </c>
      <c r="V54" s="221">
        <v>5</v>
      </c>
      <c r="W54" s="221">
        <v>5</v>
      </c>
    </row>
    <row r="55" spans="1:23">
      <c r="A55" t="s">
        <v>216</v>
      </c>
      <c r="B55" t="s">
        <v>229</v>
      </c>
      <c r="D55" s="221">
        <v>25</v>
      </c>
      <c r="E55" s="221">
        <v>25</v>
      </c>
      <c r="F55" s="221">
        <v>25</v>
      </c>
      <c r="G55" s="221">
        <v>25</v>
      </c>
      <c r="H55" s="221">
        <v>25</v>
      </c>
      <c r="I55" s="221">
        <v>25</v>
      </c>
      <c r="J55" s="221">
        <v>25</v>
      </c>
      <c r="K55" s="221">
        <v>25</v>
      </c>
      <c r="L55" s="221">
        <v>25</v>
      </c>
      <c r="M55" s="221">
        <v>25</v>
      </c>
      <c r="N55" s="221">
        <v>25</v>
      </c>
      <c r="O55" s="221">
        <v>25</v>
      </c>
      <c r="P55" s="221">
        <v>25</v>
      </c>
      <c r="Q55" s="221">
        <v>25</v>
      </c>
      <c r="R55" s="221">
        <v>25</v>
      </c>
      <c r="S55" s="221">
        <v>25</v>
      </c>
      <c r="T55" s="221">
        <v>25</v>
      </c>
      <c r="U55" s="221">
        <v>25</v>
      </c>
      <c r="V55" s="221">
        <v>25</v>
      </c>
      <c r="W55" s="221">
        <v>25</v>
      </c>
    </row>
    <row r="56" spans="1:23">
      <c r="A56" t="s">
        <v>230</v>
      </c>
      <c r="B56" t="s">
        <v>229</v>
      </c>
      <c r="L56">
        <v>5</v>
      </c>
      <c r="M56">
        <v>5</v>
      </c>
      <c r="N56">
        <v>5</v>
      </c>
      <c r="O56">
        <v>5</v>
      </c>
      <c r="P56">
        <v>5</v>
      </c>
      <c r="Q56">
        <v>5</v>
      </c>
      <c r="R56">
        <v>5</v>
      </c>
      <c r="S56">
        <v>5</v>
      </c>
      <c r="T56">
        <v>5</v>
      </c>
      <c r="U56">
        <v>5</v>
      </c>
      <c r="V56">
        <v>5</v>
      </c>
      <c r="W56">
        <v>5</v>
      </c>
    </row>
    <row r="58" spans="1:23" ht="18">
      <c r="A58" s="256" t="s">
        <v>334</v>
      </c>
      <c r="B58" s="257"/>
    </row>
    <row r="59" spans="1:23" ht="17.100000000000001" customHeight="1">
      <c r="A59" s="62"/>
      <c r="B59" s="389" t="s">
        <v>10</v>
      </c>
      <c r="C59" s="389" t="s">
        <v>11</v>
      </c>
      <c r="D59" s="390"/>
    </row>
    <row r="60" spans="1:23">
      <c r="A60" s="1" t="s">
        <v>228</v>
      </c>
      <c r="B60" s="63" t="s">
        <v>40</v>
      </c>
      <c r="C60" s="221" t="s">
        <v>217</v>
      </c>
      <c r="D60">
        <v>0</v>
      </c>
    </row>
    <row r="61" spans="1:23">
      <c r="F61" s="222"/>
      <c r="G61" s="222"/>
      <c r="H61" s="222"/>
      <c r="I61" s="222"/>
    </row>
    <row r="62" spans="1:23">
      <c r="B62" s="390"/>
      <c r="C62" s="391" t="s">
        <v>285</v>
      </c>
      <c r="D62" s="392">
        <v>41760</v>
      </c>
      <c r="E62" s="392">
        <v>41913</v>
      </c>
      <c r="F62" s="392">
        <v>42278</v>
      </c>
      <c r="G62" s="392">
        <v>42644</v>
      </c>
      <c r="H62" s="392">
        <v>43009</v>
      </c>
      <c r="I62" s="392">
        <v>43374</v>
      </c>
      <c r="J62" s="392">
        <v>43739</v>
      </c>
    </row>
    <row r="63" spans="1:23">
      <c r="B63" s="390"/>
      <c r="C63" s="391" t="s">
        <v>286</v>
      </c>
      <c r="D63" s="392">
        <v>41912</v>
      </c>
      <c r="E63" s="392">
        <v>42277</v>
      </c>
      <c r="F63" s="392">
        <v>42643</v>
      </c>
      <c r="G63" s="392">
        <v>43008</v>
      </c>
      <c r="H63" s="392">
        <v>43373</v>
      </c>
      <c r="I63" s="392">
        <v>43738</v>
      </c>
      <c r="J63" s="392">
        <v>44104</v>
      </c>
    </row>
    <row r="64" spans="1:23">
      <c r="A64" s="221" t="s">
        <v>257</v>
      </c>
      <c r="B64" s="63" t="s">
        <v>40</v>
      </c>
      <c r="C64" s="221" t="s">
        <v>217</v>
      </c>
      <c r="D64" s="66">
        <v>0</v>
      </c>
      <c r="E64" s="66">
        <v>1517</v>
      </c>
      <c r="F64" s="66">
        <v>1556.1750526699661</v>
      </c>
      <c r="G64" s="66">
        <v>2220.5283447475522</v>
      </c>
      <c r="H64" s="66">
        <v>1636.3407930830576</v>
      </c>
      <c r="I64" s="66">
        <v>2906.37616078265</v>
      </c>
      <c r="J64" s="66">
        <v>2072.8119438060471</v>
      </c>
    </row>
    <row r="65" spans="1:10">
      <c r="A65" s="221" t="s">
        <v>290</v>
      </c>
      <c r="B65" s="63" t="s">
        <v>40</v>
      </c>
      <c r="C65" s="221" t="s">
        <v>217</v>
      </c>
      <c r="D65" s="66">
        <v>0</v>
      </c>
      <c r="E65" s="66">
        <v>0</v>
      </c>
      <c r="F65" s="66">
        <v>0</v>
      </c>
      <c r="G65" s="66">
        <v>0</v>
      </c>
      <c r="H65" s="66">
        <v>0</v>
      </c>
      <c r="I65" s="66">
        <v>0</v>
      </c>
      <c r="J65" s="66">
        <v>724.25206176266488</v>
      </c>
    </row>
    <row r="66" spans="1:10">
      <c r="A66" s="221" t="s">
        <v>291</v>
      </c>
      <c r="B66" s="63" t="s">
        <v>40</v>
      </c>
      <c r="C66" s="221" t="s">
        <v>217</v>
      </c>
      <c r="D66" s="66">
        <v>0</v>
      </c>
      <c r="E66" s="66">
        <v>0</v>
      </c>
      <c r="F66" s="66">
        <v>0</v>
      </c>
      <c r="G66" s="66">
        <v>0</v>
      </c>
      <c r="H66" s="66">
        <v>0</v>
      </c>
      <c r="I66" s="66">
        <v>0</v>
      </c>
      <c r="J66" s="66">
        <v>281.1784630972445</v>
      </c>
    </row>
    <row r="68" spans="1:10" ht="18">
      <c r="A68" s="256" t="s">
        <v>335</v>
      </c>
      <c r="B68" s="257"/>
    </row>
    <row r="69" spans="1:10">
      <c r="B69" s="389" t="s">
        <v>10</v>
      </c>
      <c r="C69" s="389" t="s">
        <v>11</v>
      </c>
      <c r="D69" s="390"/>
    </row>
    <row r="70" spans="1:10">
      <c r="A70" s="221" t="s">
        <v>228</v>
      </c>
      <c r="B70" s="63" t="s">
        <v>40</v>
      </c>
      <c r="C70" s="221" t="s">
        <v>217</v>
      </c>
      <c r="D70">
        <v>0</v>
      </c>
    </row>
    <row r="71" spans="1:10">
      <c r="F71" s="222"/>
      <c r="G71" s="222"/>
      <c r="H71" s="222"/>
      <c r="I71" s="222"/>
    </row>
    <row r="72" spans="1:10">
      <c r="B72" s="390"/>
      <c r="C72" s="391" t="s">
        <v>285</v>
      </c>
      <c r="D72" s="392">
        <v>41760</v>
      </c>
      <c r="E72" s="392">
        <v>41913</v>
      </c>
      <c r="F72" s="392">
        <v>42278</v>
      </c>
      <c r="G72" s="392">
        <v>42644</v>
      </c>
      <c r="H72" s="392">
        <v>43009</v>
      </c>
      <c r="I72" s="392">
        <v>43374</v>
      </c>
      <c r="J72" s="392">
        <v>43739</v>
      </c>
    </row>
    <row r="73" spans="1:10">
      <c r="B73" s="390"/>
      <c r="C73" s="391" t="s">
        <v>286</v>
      </c>
      <c r="D73" s="392">
        <v>41912</v>
      </c>
      <c r="E73" s="392">
        <v>42277</v>
      </c>
      <c r="F73" s="392">
        <v>42643</v>
      </c>
      <c r="G73" s="392">
        <v>43008</v>
      </c>
      <c r="H73" s="392">
        <v>43373</v>
      </c>
      <c r="I73" s="392">
        <v>43738</v>
      </c>
      <c r="J73" s="392">
        <v>44104</v>
      </c>
    </row>
    <row r="74" spans="1:10">
      <c r="B74" s="389" t="s">
        <v>10</v>
      </c>
      <c r="C74" s="389" t="s">
        <v>11</v>
      </c>
      <c r="D74" s="392"/>
      <c r="E74" s="392"/>
      <c r="F74" s="392"/>
      <c r="G74" s="392"/>
      <c r="H74" s="392"/>
      <c r="I74" s="392"/>
      <c r="J74" s="392"/>
    </row>
    <row r="75" spans="1:10">
      <c r="A75" s="221" t="s">
        <v>257</v>
      </c>
      <c r="B75" s="63" t="s">
        <v>40</v>
      </c>
      <c r="C75" s="221" t="s">
        <v>217</v>
      </c>
      <c r="D75" s="66">
        <v>0</v>
      </c>
      <c r="E75" s="66">
        <v>0</v>
      </c>
      <c r="F75" s="66">
        <v>0</v>
      </c>
      <c r="G75" s="66">
        <v>0</v>
      </c>
      <c r="H75" s="66">
        <v>0</v>
      </c>
      <c r="I75" s="66">
        <v>0</v>
      </c>
      <c r="J75" s="66">
        <v>23410</v>
      </c>
    </row>
    <row r="76" spans="1:10">
      <c r="A76" s="232" t="s">
        <v>256</v>
      </c>
      <c r="B76" s="286" t="s">
        <v>40</v>
      </c>
      <c r="C76" s="221" t="s">
        <v>217</v>
      </c>
      <c r="D76" s="66">
        <v>0</v>
      </c>
      <c r="E76" s="66">
        <v>0</v>
      </c>
      <c r="F76" s="66">
        <f>'SONI BPDT RAB'!D71</f>
        <v>0</v>
      </c>
      <c r="G76" s="66">
        <f>'SONI BPDT RAB'!E71</f>
        <v>0</v>
      </c>
      <c r="H76" s="66">
        <f>'SONI BPDT RAB'!F71</f>
        <v>0</v>
      </c>
      <c r="I76" s="66">
        <f>'SONI BPDT RAB'!G71</f>
        <v>0</v>
      </c>
      <c r="J76" s="66">
        <f>'SONI BPDT RAB'!H71</f>
        <v>22853.451263697396</v>
      </c>
    </row>
    <row r="78" spans="1:10" ht="18">
      <c r="A78" s="256" t="s">
        <v>407</v>
      </c>
    </row>
    <row r="79" spans="1:10">
      <c r="A79" t="s">
        <v>728</v>
      </c>
    </row>
    <row r="80" spans="1:10">
      <c r="A80" s="1" t="s">
        <v>421</v>
      </c>
      <c r="B80" s="389" t="s">
        <v>10</v>
      </c>
      <c r="C80" s="389" t="s">
        <v>11</v>
      </c>
      <c r="D80" s="388" t="s">
        <v>0</v>
      </c>
      <c r="E80" s="388" t="s">
        <v>1</v>
      </c>
      <c r="F80" s="388" t="s">
        <v>2</v>
      </c>
      <c r="G80" s="388" t="s">
        <v>3</v>
      </c>
      <c r="H80" s="388" t="s">
        <v>4</v>
      </c>
      <c r="I80" s="388" t="s">
        <v>20</v>
      </c>
    </row>
    <row r="81" spans="1:11">
      <c r="A81" t="s">
        <v>57</v>
      </c>
      <c r="B81" s="63" t="s">
        <v>40</v>
      </c>
      <c r="C81" s="221" t="s">
        <v>52</v>
      </c>
      <c r="D81" s="372">
        <f>'SONI BPDT RAB'!D82</f>
        <v>153.22279228795929</v>
      </c>
      <c r="E81" s="372">
        <f>'SONI BPDT RAB'!E82</f>
        <v>153.55473265543898</v>
      </c>
      <c r="F81" s="372">
        <f>'SONI BPDT RAB'!F82</f>
        <v>155.1384712169837</v>
      </c>
      <c r="G81" s="372">
        <f>'SONI BPDT RAB'!G82</f>
        <v>156.39026941104879</v>
      </c>
      <c r="H81" s="372">
        <f>'SONI BPDT RAB'!H82</f>
        <v>158.77790711198085</v>
      </c>
      <c r="I81" s="373">
        <f>SUM(D81:H81)</f>
        <v>777.08417268341157</v>
      </c>
    </row>
    <row r="82" spans="1:11">
      <c r="A82" t="s">
        <v>347</v>
      </c>
      <c r="B82" s="63" t="s">
        <v>40</v>
      </c>
      <c r="C82" s="221" t="s">
        <v>52</v>
      </c>
      <c r="D82" s="372">
        <f>'SONI BPDT RAB'!D83</f>
        <v>4047.5400632001488</v>
      </c>
      <c r="E82" s="372">
        <f>'SONI BPDT RAB'!E83</f>
        <v>2343.5427960265174</v>
      </c>
      <c r="F82" s="372">
        <f>'SONI BPDT RAB'!F83</f>
        <v>2525.6014120104683</v>
      </c>
      <c r="G82" s="372">
        <f>'SONI BPDT RAB'!G83</f>
        <v>2237.5351428008316</v>
      </c>
      <c r="H82" s="372">
        <f>'SONI BPDT RAB'!H83</f>
        <v>2049.1915864028497</v>
      </c>
      <c r="I82" s="373">
        <f>SUM(D82:H82)</f>
        <v>13203.411000440814</v>
      </c>
    </row>
    <row r="83" spans="1:11">
      <c r="A83" t="s">
        <v>231</v>
      </c>
      <c r="B83" s="63" t="s">
        <v>40</v>
      </c>
      <c r="C83" s="221" t="s">
        <v>52</v>
      </c>
      <c r="D83" s="372">
        <f>'SONI BPDT RAB'!D84</f>
        <v>0</v>
      </c>
      <c r="E83" s="372">
        <f>'SONI BPDT RAB'!E84</f>
        <v>0</v>
      </c>
      <c r="F83" s="372">
        <f>'SONI BPDT RAB'!F84</f>
        <v>0</v>
      </c>
      <c r="G83" s="372">
        <f>'SONI BPDT RAB'!G84</f>
        <v>0</v>
      </c>
      <c r="H83" s="372">
        <f>'SONI BPDT RAB'!H84</f>
        <v>5230.2853654734909</v>
      </c>
      <c r="I83" s="373">
        <f>SUM(D83:H83)</f>
        <v>5230.2853654734909</v>
      </c>
    </row>
    <row r="85" spans="1:11">
      <c r="A85" s="1" t="s">
        <v>422</v>
      </c>
      <c r="B85" s="389" t="s">
        <v>10</v>
      </c>
      <c r="C85" s="389" t="s">
        <v>11</v>
      </c>
      <c r="D85" s="388" t="s">
        <v>0</v>
      </c>
      <c r="E85" s="388" t="s">
        <v>1</v>
      </c>
      <c r="F85" s="388" t="s">
        <v>2</v>
      </c>
      <c r="G85" s="388" t="s">
        <v>3</v>
      </c>
      <c r="H85" s="388" t="s">
        <v>4</v>
      </c>
      <c r="I85" s="388" t="s">
        <v>20</v>
      </c>
    </row>
    <row r="86" spans="1:11">
      <c r="A86" s="285" t="s">
        <v>57</v>
      </c>
      <c r="B86" s="286" t="s">
        <v>40</v>
      </c>
      <c r="C86" s="221" t="s">
        <v>403</v>
      </c>
      <c r="D86" s="372">
        <v>152.631864732406</v>
      </c>
      <c r="E86" s="372">
        <v>153.54736379384099</v>
      </c>
      <c r="F86" s="372">
        <v>155.13110235538599</v>
      </c>
      <c r="G86" s="372">
        <v>156.38290054945099</v>
      </c>
      <c r="H86" s="372">
        <v>156.38290054945099</v>
      </c>
      <c r="I86" s="373">
        <f t="shared" ref="I86:I88" si="0">SUM(D86:H86)</f>
        <v>774.07613198053514</v>
      </c>
    </row>
    <row r="87" spans="1:11">
      <c r="A87" s="285" t="s">
        <v>347</v>
      </c>
      <c r="B87" s="286" t="s">
        <v>40</v>
      </c>
      <c r="C87" s="221" t="s">
        <v>403</v>
      </c>
      <c r="D87" s="372">
        <v>4048.0269893478098</v>
      </c>
      <c r="E87" s="372">
        <v>2343.5427960265201</v>
      </c>
      <c r="F87" s="372">
        <v>2525.6014120104701</v>
      </c>
      <c r="G87" s="372">
        <v>2237.5351428008298</v>
      </c>
      <c r="H87" s="372">
        <v>2018.37667532912</v>
      </c>
      <c r="I87" s="373">
        <f t="shared" si="0"/>
        <v>13173.083015514749</v>
      </c>
      <c r="K87" t="s">
        <v>583</v>
      </c>
    </row>
    <row r="88" spans="1:11">
      <c r="A88" s="285" t="s">
        <v>231</v>
      </c>
      <c r="B88" s="286" t="s">
        <v>40</v>
      </c>
      <c r="C88" s="221" t="s">
        <v>403</v>
      </c>
      <c r="D88" s="372">
        <v>0</v>
      </c>
      <c r="E88" s="372">
        <v>0</v>
      </c>
      <c r="F88" s="372">
        <v>0</v>
      </c>
      <c r="G88" s="372">
        <v>0</v>
      </c>
      <c r="H88" s="372">
        <v>5151.6344577220098</v>
      </c>
      <c r="I88" s="373">
        <f t="shared" si="0"/>
        <v>5151.6344577220098</v>
      </c>
    </row>
    <row r="90" spans="1:11">
      <c r="A90" s="1" t="s">
        <v>348</v>
      </c>
      <c r="B90" s="389" t="s">
        <v>10</v>
      </c>
      <c r="C90" s="389" t="s">
        <v>11</v>
      </c>
      <c r="D90" s="388" t="s">
        <v>0</v>
      </c>
      <c r="E90" s="388" t="s">
        <v>1</v>
      </c>
      <c r="F90" s="388" t="s">
        <v>2</v>
      </c>
      <c r="G90" s="388" t="s">
        <v>3</v>
      </c>
      <c r="H90" s="388" t="s">
        <v>4</v>
      </c>
      <c r="I90" s="388" t="s">
        <v>20</v>
      </c>
    </row>
    <row r="91" spans="1:11">
      <c r="A91" t="s">
        <v>57</v>
      </c>
      <c r="B91" s="63" t="s">
        <v>40</v>
      </c>
      <c r="C91" s="221" t="s">
        <v>52</v>
      </c>
      <c r="D91" s="372">
        <v>200</v>
      </c>
      <c r="E91" s="372">
        <v>200</v>
      </c>
      <c r="F91" s="372">
        <v>192</v>
      </c>
      <c r="G91" s="372"/>
      <c r="H91" s="372"/>
      <c r="I91" s="373">
        <f>SUM(D91:H91)</f>
        <v>592</v>
      </c>
    </row>
    <row r="92" spans="1:11">
      <c r="A92" t="s">
        <v>347</v>
      </c>
      <c r="B92" s="63" t="s">
        <v>40</v>
      </c>
      <c r="C92" s="221" t="s">
        <v>52</v>
      </c>
      <c r="D92" s="372">
        <v>1800</v>
      </c>
      <c r="E92" s="372">
        <v>1900</v>
      </c>
      <c r="F92" s="372">
        <v>1044</v>
      </c>
      <c r="G92" s="372"/>
      <c r="H92" s="372"/>
      <c r="I92" s="373">
        <f>SUM(D92:H92)</f>
        <v>4744</v>
      </c>
    </row>
    <row r="93" spans="1:11">
      <c r="A93" t="s">
        <v>231</v>
      </c>
      <c r="B93" s="63" t="s">
        <v>40</v>
      </c>
      <c r="C93" s="221" t="s">
        <v>52</v>
      </c>
      <c r="D93" s="372">
        <v>0</v>
      </c>
      <c r="E93" s="372">
        <v>0</v>
      </c>
      <c r="F93" s="372">
        <v>0</v>
      </c>
      <c r="G93" s="372"/>
      <c r="H93" s="372"/>
      <c r="I93" s="373">
        <f>SUM(D93:H93)</f>
        <v>0</v>
      </c>
    </row>
    <row r="95" spans="1:11">
      <c r="A95" s="1" t="s">
        <v>766</v>
      </c>
      <c r="B95" s="389" t="s">
        <v>10</v>
      </c>
      <c r="C95" s="389" t="s">
        <v>11</v>
      </c>
      <c r="D95" s="388" t="s">
        <v>0</v>
      </c>
      <c r="E95" s="388" t="s">
        <v>1</v>
      </c>
      <c r="F95" s="388" t="s">
        <v>2</v>
      </c>
      <c r="G95" s="388" t="s">
        <v>3</v>
      </c>
      <c r="H95" s="388" t="s">
        <v>4</v>
      </c>
      <c r="I95" s="388" t="s">
        <v>20</v>
      </c>
    </row>
    <row r="96" spans="1:11">
      <c r="A96" t="s">
        <v>431</v>
      </c>
      <c r="B96" s="63" t="s">
        <v>40</v>
      </c>
      <c r="C96" s="221" t="s">
        <v>52</v>
      </c>
      <c r="D96" s="66">
        <v>3203.5980985317724</v>
      </c>
      <c r="E96" s="66">
        <v>2084.8479247797177</v>
      </c>
      <c r="F96" s="66">
        <v>1533.4295596499944</v>
      </c>
      <c r="G96" s="66">
        <v>2393.9180433502825</v>
      </c>
      <c r="H96" s="66">
        <v>2666.1787606091402</v>
      </c>
      <c r="I96" s="71">
        <f>SUM(D96:H96)</f>
        <v>11881.972386920907</v>
      </c>
    </row>
    <row r="99" spans="1:10" ht="18">
      <c r="A99" s="256" t="s">
        <v>408</v>
      </c>
    </row>
    <row r="100" spans="1:10">
      <c r="A100" s="232" t="s">
        <v>773</v>
      </c>
    </row>
    <row r="101" spans="1:10">
      <c r="A101" s="1" t="s">
        <v>409</v>
      </c>
      <c r="B101" s="389" t="s">
        <v>10</v>
      </c>
      <c r="C101" s="389" t="s">
        <v>11</v>
      </c>
      <c r="D101" s="388" t="s">
        <v>0</v>
      </c>
      <c r="E101" s="388" t="s">
        <v>1</v>
      </c>
      <c r="F101" s="388" t="s">
        <v>2</v>
      </c>
      <c r="G101" s="388" t="s">
        <v>3</v>
      </c>
      <c r="H101" s="388" t="s">
        <v>4</v>
      </c>
      <c r="I101" s="388" t="s">
        <v>20</v>
      </c>
    </row>
    <row r="102" spans="1:10">
      <c r="A102" s="285" t="s">
        <v>411</v>
      </c>
      <c r="B102" s="286" t="s">
        <v>40</v>
      </c>
      <c r="C102" s="221" t="s">
        <v>52</v>
      </c>
      <c r="D102" s="66">
        <v>935</v>
      </c>
      <c r="E102" s="66">
        <v>761</v>
      </c>
      <c r="F102" s="66">
        <v>432</v>
      </c>
      <c r="G102" s="66">
        <v>1037</v>
      </c>
      <c r="H102" s="249">
        <v>1343.855</v>
      </c>
      <c r="I102" s="66">
        <f>SUM(D102:H102)</f>
        <v>4508.8549999999996</v>
      </c>
      <c r="J102" s="285"/>
    </row>
    <row r="103" spans="1:10">
      <c r="A103" t="s">
        <v>410</v>
      </c>
      <c r="B103" s="286" t="s">
        <v>40</v>
      </c>
      <c r="C103" s="221" t="s">
        <v>52</v>
      </c>
      <c r="D103" s="66">
        <v>1395</v>
      </c>
      <c r="E103" s="66">
        <v>1338</v>
      </c>
      <c r="F103" s="66">
        <v>1098</v>
      </c>
      <c r="G103" s="66">
        <v>1495</v>
      </c>
      <c r="H103" s="66">
        <v>1931</v>
      </c>
      <c r="I103" s="66">
        <f>SUM(D103:H103)</f>
        <v>7257</v>
      </c>
    </row>
    <row r="105" spans="1:10">
      <c r="A105" s="1" t="s">
        <v>412</v>
      </c>
      <c r="B105" s="389" t="s">
        <v>10</v>
      </c>
      <c r="C105" s="389" t="s">
        <v>11</v>
      </c>
      <c r="D105" s="388" t="s">
        <v>0</v>
      </c>
      <c r="E105" s="388" t="s">
        <v>1</v>
      </c>
      <c r="F105" s="388" t="s">
        <v>2</v>
      </c>
      <c r="G105" s="388" t="s">
        <v>3</v>
      </c>
      <c r="H105" s="388" t="s">
        <v>4</v>
      </c>
      <c r="I105" s="388" t="s">
        <v>20</v>
      </c>
    </row>
    <row r="106" spans="1:10">
      <c r="A106" s="285" t="s">
        <v>413</v>
      </c>
      <c r="B106" s="286" t="s">
        <v>40</v>
      </c>
      <c r="C106" s="221" t="s">
        <v>52</v>
      </c>
      <c r="D106" s="66">
        <v>196</v>
      </c>
      <c r="E106" s="66">
        <v>26</v>
      </c>
      <c r="F106" s="66">
        <v>17</v>
      </c>
      <c r="G106" s="66">
        <v>39</v>
      </c>
      <c r="H106" s="249">
        <v>0</v>
      </c>
      <c r="I106" s="66">
        <f>SUM(D106:H106)</f>
        <v>278</v>
      </c>
    </row>
    <row r="107" spans="1:10">
      <c r="A107" s="285" t="s">
        <v>414</v>
      </c>
      <c r="B107" s="286" t="s">
        <v>40</v>
      </c>
      <c r="C107" s="221" t="s">
        <v>52</v>
      </c>
      <c r="D107" s="66">
        <v>0</v>
      </c>
      <c r="E107" s="66">
        <v>0</v>
      </c>
      <c r="F107" s="66">
        <v>0</v>
      </c>
      <c r="G107" s="66">
        <v>0</v>
      </c>
      <c r="H107" s="66">
        <v>0</v>
      </c>
      <c r="I107" s="66">
        <f>SUM(D107:H107)</f>
        <v>0</v>
      </c>
    </row>
    <row r="109" spans="1:10" ht="18">
      <c r="A109" s="256" t="s">
        <v>591</v>
      </c>
    </row>
    <row r="110" spans="1:10">
      <c r="A110" s="285" t="s">
        <v>728</v>
      </c>
    </row>
    <row r="111" spans="1:10">
      <c r="A111" s="1" t="s">
        <v>417</v>
      </c>
      <c r="B111" s="389" t="s">
        <v>10</v>
      </c>
      <c r="C111" s="389" t="s">
        <v>11</v>
      </c>
      <c r="D111" s="388" t="s">
        <v>0</v>
      </c>
      <c r="E111" s="388" t="s">
        <v>1</v>
      </c>
      <c r="F111" s="388" t="s">
        <v>2</v>
      </c>
      <c r="G111" s="388" t="s">
        <v>3</v>
      </c>
      <c r="H111" s="388" t="s">
        <v>4</v>
      </c>
      <c r="I111" s="388" t="s">
        <v>20</v>
      </c>
    </row>
    <row r="112" spans="1:10">
      <c r="A112" t="s">
        <v>418</v>
      </c>
      <c r="B112" s="286" t="s">
        <v>40</v>
      </c>
      <c r="C112" s="221" t="s">
        <v>403</v>
      </c>
      <c r="D112" s="372">
        <v>3902.45944201989</v>
      </c>
      <c r="E112" s="372">
        <v>803.51232495935005</v>
      </c>
      <c r="F112" s="372">
        <v>1271.73889322846</v>
      </c>
      <c r="G112" s="372">
        <v>825.09921999999995</v>
      </c>
      <c r="H112" s="372">
        <v>2606.0504123199498</v>
      </c>
      <c r="I112" s="372">
        <f>SUM(D112:H112)</f>
        <v>9408.86029252765</v>
      </c>
    </row>
    <row r="113" spans="1:9">
      <c r="A113" t="s">
        <v>419</v>
      </c>
      <c r="B113" s="286" t="s">
        <v>40</v>
      </c>
      <c r="C113" s="221" t="s">
        <v>403</v>
      </c>
      <c r="D113" s="372">
        <v>29</v>
      </c>
      <c r="E113" s="372">
        <v>17</v>
      </c>
      <c r="F113" s="372">
        <v>63</v>
      </c>
      <c r="G113" s="372">
        <v>0</v>
      </c>
      <c r="H113" s="372">
        <v>0</v>
      </c>
      <c r="I113" s="372">
        <f>SUM(D113:H113)</f>
        <v>109</v>
      </c>
    </row>
    <row r="115" spans="1:9">
      <c r="A115" s="1" t="s">
        <v>420</v>
      </c>
      <c r="B115" s="389" t="s">
        <v>10</v>
      </c>
      <c r="C115" s="389" t="s">
        <v>11</v>
      </c>
      <c r="D115" s="388" t="s">
        <v>0</v>
      </c>
      <c r="E115" s="388" t="s">
        <v>1</v>
      </c>
      <c r="F115" s="388" t="s">
        <v>2</v>
      </c>
      <c r="G115" s="388" t="s">
        <v>3</v>
      </c>
      <c r="H115" s="388" t="s">
        <v>4</v>
      </c>
      <c r="I115" s="388" t="s">
        <v>20</v>
      </c>
    </row>
    <row r="116" spans="1:9">
      <c r="A116" s="285" t="s">
        <v>418</v>
      </c>
      <c r="B116" s="286" t="s">
        <v>40</v>
      </c>
      <c r="C116" s="221" t="s">
        <v>52</v>
      </c>
      <c r="D116" s="372">
        <f>'SONI BPDT RAB'!D58</f>
        <v>3902.4594420198928</v>
      </c>
      <c r="E116" s="372">
        <f>'SONI BPDT RAB'!E58</f>
        <v>803.5123249593496</v>
      </c>
      <c r="F116" s="372">
        <f>'SONI BPDT RAB'!F58</f>
        <v>1271.7388932284593</v>
      </c>
      <c r="G116" s="372">
        <f>'SONI BPDT RAB'!G58</f>
        <v>825.09922000000006</v>
      </c>
      <c r="H116" s="372">
        <f>'SONI BPDT RAB'!H58</f>
        <v>2645.8374415156741</v>
      </c>
      <c r="I116" s="372">
        <f>SUM(D116:H116)</f>
        <v>9448.6473217233761</v>
      </c>
    </row>
    <row r="117" spans="1:9">
      <c r="A117" s="285" t="s">
        <v>419</v>
      </c>
      <c r="B117" s="286" t="s">
        <v>40</v>
      </c>
      <c r="C117" s="221" t="s">
        <v>52</v>
      </c>
      <c r="D117" s="372">
        <f>'SONI BPDT RAB'!D57</f>
        <v>29.1779346977812</v>
      </c>
      <c r="E117" s="372">
        <f>'SONI BPDT RAB'!E57</f>
        <v>16.597018373983737</v>
      </c>
      <c r="F117" s="372">
        <f>'SONI BPDT RAB'!F57</f>
        <v>62.589909703253483</v>
      </c>
      <c r="G117" s="372">
        <f>'SONI BPDT RAB'!G57</f>
        <v>0</v>
      </c>
      <c r="H117" s="372">
        <f>'SONI BPDT RAB'!H57</f>
        <v>0</v>
      </c>
      <c r="I117" s="372">
        <f>SUM(D117:H117)</f>
        <v>108.36486277501842</v>
      </c>
    </row>
  </sheetData>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N22"/>
  <sheetViews>
    <sheetView showGridLines="0" zoomScale="90" zoomScaleNormal="90" workbookViewId="0"/>
  </sheetViews>
  <sheetFormatPr defaultColWidth="8.6640625" defaultRowHeight="14.25"/>
  <cols>
    <col min="1" max="1" width="68.1328125" style="285" customWidth="1"/>
    <col min="2" max="5" width="18.06640625" style="285" customWidth="1"/>
    <col min="6" max="23" width="10.33203125" style="285" customWidth="1"/>
    <col min="24" max="16384" width="8.6640625" style="285"/>
  </cols>
  <sheetData>
    <row r="1" spans="1:14" ht="18">
      <c r="A1" s="256" t="s">
        <v>241</v>
      </c>
      <c r="B1" s="257"/>
    </row>
    <row r="2" spans="1:14">
      <c r="B2" s="1"/>
      <c r="C2" s="227"/>
      <c r="D2" s="227"/>
      <c r="E2" s="227"/>
      <c r="F2" s="227"/>
      <c r="G2" s="227"/>
      <c r="H2" s="227"/>
      <c r="I2" s="227"/>
      <c r="J2" s="227"/>
      <c r="K2" s="227"/>
      <c r="L2" s="227"/>
      <c r="M2" s="227"/>
      <c r="N2" s="227"/>
    </row>
    <row r="3" spans="1:14">
      <c r="A3" s="1"/>
      <c r="B3" s="388" t="s">
        <v>681</v>
      </c>
      <c r="C3" s="230"/>
      <c r="D3" s="388" t="s">
        <v>752</v>
      </c>
      <c r="E3" s="230"/>
      <c r="F3" s="230"/>
      <c r="G3" s="230"/>
      <c r="H3" s="230"/>
      <c r="I3" s="230"/>
      <c r="J3" s="230"/>
      <c r="K3" s="230"/>
      <c r="L3" s="230"/>
      <c r="M3" s="230"/>
      <c r="N3" s="230"/>
    </row>
    <row r="4" spans="1:14">
      <c r="A4" s="285" t="s">
        <v>67</v>
      </c>
      <c r="B4" s="72">
        <v>0.4</v>
      </c>
      <c r="C4" s="230"/>
      <c r="D4" s="72">
        <v>0.3</v>
      </c>
      <c r="E4" s="230"/>
      <c r="F4" s="230"/>
      <c r="G4" s="230"/>
      <c r="H4" s="230"/>
      <c r="I4" s="230"/>
      <c r="J4" s="230"/>
      <c r="K4" s="230"/>
      <c r="L4" s="230"/>
      <c r="M4" s="230"/>
      <c r="N4" s="230"/>
    </row>
    <row r="5" spans="1:14">
      <c r="A5" s="285" t="s">
        <v>68</v>
      </c>
      <c r="B5" s="2">
        <v>6.7000000000000004E-2</v>
      </c>
      <c r="C5" s="227"/>
      <c r="D5" s="2">
        <v>6.5000000000000002E-2</v>
      </c>
      <c r="E5" s="227"/>
      <c r="F5" s="227"/>
      <c r="G5" s="227"/>
      <c r="H5" s="227"/>
      <c r="I5" s="227"/>
      <c r="J5" s="227"/>
      <c r="K5" s="227"/>
      <c r="L5" s="227"/>
      <c r="M5" s="227"/>
      <c r="N5" s="227"/>
    </row>
    <row r="6" spans="1:14">
      <c r="A6" s="285" t="s">
        <v>69</v>
      </c>
      <c r="B6" s="2">
        <v>-0.01</v>
      </c>
      <c r="D6" s="2">
        <v>-6.0000000000000001E-3</v>
      </c>
      <c r="F6" s="230"/>
      <c r="G6" s="230"/>
      <c r="H6" s="230"/>
      <c r="I6" s="230"/>
      <c r="J6" s="230"/>
      <c r="K6" s="230"/>
      <c r="L6" s="230"/>
      <c r="M6" s="230"/>
      <c r="N6" s="230"/>
    </row>
    <row r="7" spans="1:14">
      <c r="A7" s="285" t="s">
        <v>71</v>
      </c>
      <c r="B7" s="4">
        <v>0.5</v>
      </c>
      <c r="D7" s="4">
        <v>0.5</v>
      </c>
    </row>
    <row r="8" spans="1:14">
      <c r="A8" s="285" t="s">
        <v>72</v>
      </c>
      <c r="B8" s="244">
        <v>7.4999999999999997E-2</v>
      </c>
      <c r="C8" s="2"/>
      <c r="D8" s="4">
        <v>0.125</v>
      </c>
      <c r="E8" s="227"/>
      <c r="F8" s="227"/>
      <c r="G8" s="227"/>
      <c r="H8" s="227"/>
    </row>
    <row r="9" spans="1:14">
      <c r="A9" s="285" t="s">
        <v>73</v>
      </c>
      <c r="B9" s="375">
        <v>7.4999999999999997E-3</v>
      </c>
      <c r="C9" s="2"/>
      <c r="D9" s="73">
        <v>1.14E-2</v>
      </c>
      <c r="E9" s="2"/>
      <c r="F9" s="2"/>
      <c r="G9" s="2"/>
      <c r="H9" s="4"/>
      <c r="I9" s="4"/>
    </row>
    <row r="10" spans="1:14">
      <c r="A10" s="285" t="s">
        <v>210</v>
      </c>
      <c r="B10" s="72">
        <v>0.19</v>
      </c>
      <c r="C10" s="2"/>
      <c r="D10" s="72">
        <v>0.17</v>
      </c>
      <c r="E10" s="2"/>
      <c r="F10" s="2"/>
      <c r="G10" s="2"/>
    </row>
    <row r="11" spans="1:14">
      <c r="C11" s="2"/>
      <c r="D11" s="2"/>
      <c r="E11" s="2"/>
      <c r="F11" s="2"/>
      <c r="G11" s="2"/>
    </row>
    <row r="13" spans="1:14">
      <c r="H13" s="2"/>
    </row>
    <row r="14" spans="1:14">
      <c r="H14" s="2"/>
    </row>
    <row r="15" spans="1:14">
      <c r="H15" s="2"/>
    </row>
    <row r="16" spans="1:14">
      <c r="H16" s="2"/>
    </row>
    <row r="17" spans="8:8">
      <c r="H17" s="2"/>
    </row>
    <row r="20" spans="8:8">
      <c r="H20" s="269"/>
    </row>
    <row r="21" spans="8:8">
      <c r="H21" s="269"/>
    </row>
    <row r="22" spans="8:8">
      <c r="H22" s="2"/>
    </row>
  </sheetData>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O79"/>
  <sheetViews>
    <sheetView showGridLines="0" zoomScale="80" zoomScaleNormal="80" workbookViewId="0"/>
  </sheetViews>
  <sheetFormatPr defaultColWidth="8.6640625" defaultRowHeight="14.25"/>
  <cols>
    <col min="1" max="1" width="73" customWidth="1"/>
    <col min="3" max="3" width="14.33203125" customWidth="1"/>
    <col min="4" max="8" width="9.1328125" bestFit="1" customWidth="1"/>
    <col min="9" max="9" width="10.1328125" bestFit="1" customWidth="1"/>
  </cols>
  <sheetData>
    <row r="1" spans="1:15" ht="18">
      <c r="A1" s="256" t="s">
        <v>684</v>
      </c>
      <c r="B1" s="257"/>
    </row>
    <row r="3" spans="1:15" s="285" customFormat="1" ht="18">
      <c r="A3" s="256" t="s">
        <v>729</v>
      </c>
    </row>
    <row r="4" spans="1:15" s="285" customFormat="1"/>
    <row r="5" spans="1:15" s="285" customFormat="1">
      <c r="A5" s="285" t="s">
        <v>730</v>
      </c>
      <c r="B5" s="72">
        <v>0.75</v>
      </c>
    </row>
    <row r="6" spans="1:15" s="285" customFormat="1"/>
    <row r="7" spans="1:15" s="285" customFormat="1">
      <c r="A7" s="1" t="s">
        <v>733</v>
      </c>
      <c r="B7" s="389" t="s">
        <v>10</v>
      </c>
      <c r="C7" s="389" t="s">
        <v>11</v>
      </c>
      <c r="D7" s="388" t="s">
        <v>5</v>
      </c>
      <c r="E7" s="388" t="s">
        <v>6</v>
      </c>
      <c r="F7" s="388" t="s">
        <v>7</v>
      </c>
      <c r="G7" s="388" t="s">
        <v>8</v>
      </c>
      <c r="H7" s="388" t="s">
        <v>9</v>
      </c>
      <c r="I7" s="388" t="s">
        <v>20</v>
      </c>
    </row>
    <row r="8" spans="1:15" s="285" customFormat="1">
      <c r="A8" s="285" t="s">
        <v>447</v>
      </c>
      <c r="B8" s="63" t="s">
        <v>40</v>
      </c>
      <c r="C8" t="s">
        <v>53</v>
      </c>
      <c r="D8" s="249">
        <v>8116.8259110219969</v>
      </c>
      <c r="E8" s="249">
        <v>8090.7447617973121</v>
      </c>
      <c r="F8" s="249">
        <v>8094.8371051185304</v>
      </c>
      <c r="G8" s="249">
        <v>7986.1899320511184</v>
      </c>
      <c r="H8" s="249">
        <v>7949.6936354942691</v>
      </c>
      <c r="I8" s="66">
        <f t="shared" ref="I8:I12" si="0">SUM(D8:H8)</f>
        <v>40238.291345483223</v>
      </c>
      <c r="K8" s="71"/>
      <c r="L8" s="71"/>
      <c r="M8" s="71"/>
      <c r="N8" s="71"/>
      <c r="O8" s="71"/>
    </row>
    <row r="9" spans="1:15" s="285" customFormat="1">
      <c r="A9" t="s">
        <v>242</v>
      </c>
      <c r="B9" s="63" t="s">
        <v>40</v>
      </c>
      <c r="C9" t="s">
        <v>53</v>
      </c>
      <c r="D9" s="249">
        <v>3472.1286991865918</v>
      </c>
      <c r="E9" s="249">
        <v>3447.1286991865918</v>
      </c>
      <c r="F9" s="249">
        <v>3471.1286991865918</v>
      </c>
      <c r="G9" s="249">
        <v>3495.1286991865918</v>
      </c>
      <c r="H9" s="249">
        <v>2280.1286991865918</v>
      </c>
      <c r="I9" s="66">
        <f t="shared" si="0"/>
        <v>16165.64349593296</v>
      </c>
      <c r="K9" s="71"/>
      <c r="L9" s="71"/>
      <c r="M9" s="71"/>
      <c r="N9" s="71"/>
      <c r="O9" s="71"/>
    </row>
    <row r="10" spans="1:15" s="285" customFormat="1">
      <c r="A10" t="s">
        <v>243</v>
      </c>
      <c r="B10" s="63" t="s">
        <v>40</v>
      </c>
      <c r="C10" t="s">
        <v>53</v>
      </c>
      <c r="D10" s="249">
        <v>1246.7644972564522</v>
      </c>
      <c r="E10" s="249">
        <v>1202.7628345364519</v>
      </c>
      <c r="F10" s="249">
        <v>1209.0011053076523</v>
      </c>
      <c r="G10" s="249">
        <v>1615.4889069096998</v>
      </c>
      <c r="H10" s="249">
        <v>1322.2362205758309</v>
      </c>
      <c r="I10" s="66">
        <f t="shared" si="0"/>
        <v>6596.2535645860871</v>
      </c>
      <c r="K10" s="71"/>
      <c r="L10" s="71"/>
      <c r="M10" s="71"/>
      <c r="N10" s="71"/>
      <c r="O10" s="71"/>
    </row>
    <row r="11" spans="1:15" s="285" customFormat="1">
      <c r="A11" s="285" t="s">
        <v>770</v>
      </c>
      <c r="B11" s="286" t="s">
        <v>40</v>
      </c>
      <c r="C11" s="285" t="s">
        <v>53</v>
      </c>
      <c r="D11" s="249">
        <v>20.010999999999999</v>
      </c>
      <c r="E11" s="249">
        <v>29.808</v>
      </c>
      <c r="F11" s="249">
        <v>39.863999999999997</v>
      </c>
      <c r="G11" s="249">
        <v>51.055999999999997</v>
      </c>
      <c r="H11" s="249">
        <v>54.232999999999997</v>
      </c>
      <c r="I11" s="66">
        <f t="shared" si="0"/>
        <v>194.97199999999998</v>
      </c>
      <c r="K11" s="71"/>
      <c r="L11" s="71"/>
      <c r="M11" s="71"/>
      <c r="N11" s="71"/>
      <c r="O11" s="71"/>
    </row>
    <row r="12" spans="1:15" s="285" customFormat="1">
      <c r="A12" s="1" t="s">
        <v>20</v>
      </c>
      <c r="B12" s="286" t="s">
        <v>40</v>
      </c>
      <c r="C12" s="285" t="s">
        <v>53</v>
      </c>
      <c r="D12" s="295">
        <f>SUM(D8:D11)</f>
        <v>12855.73010746504</v>
      </c>
      <c r="E12" s="295">
        <f t="shared" ref="E12:H12" si="1">SUM(E8:E11)</f>
        <v>12770.444295520358</v>
      </c>
      <c r="F12" s="295">
        <f t="shared" si="1"/>
        <v>12814.830909612774</v>
      </c>
      <c r="G12" s="295">
        <f t="shared" si="1"/>
        <v>13147.863538147412</v>
      </c>
      <c r="H12" s="295">
        <f t="shared" si="1"/>
        <v>11606.291555256692</v>
      </c>
      <c r="I12" s="248">
        <f t="shared" si="0"/>
        <v>63195.160406002273</v>
      </c>
    </row>
    <row r="13" spans="1:15" s="285" customFormat="1">
      <c r="A13" s="1"/>
      <c r="B13" s="286"/>
      <c r="D13" s="295"/>
      <c r="E13" s="295"/>
      <c r="F13" s="295"/>
      <c r="G13" s="295"/>
      <c r="H13" s="295"/>
      <c r="I13" s="248"/>
    </row>
    <row r="14" spans="1:15" s="285" customFormat="1">
      <c r="A14" s="1" t="s">
        <v>732</v>
      </c>
      <c r="B14" s="389" t="s">
        <v>10</v>
      </c>
      <c r="C14" s="389" t="s">
        <v>11</v>
      </c>
      <c r="D14" s="388" t="s">
        <v>5</v>
      </c>
      <c r="E14" s="388" t="s">
        <v>6</v>
      </c>
      <c r="F14" s="388" t="s">
        <v>7</v>
      </c>
      <c r="G14" s="388" t="s">
        <v>8</v>
      </c>
      <c r="H14" s="388" t="s">
        <v>9</v>
      </c>
      <c r="I14" s="388" t="s">
        <v>20</v>
      </c>
    </row>
    <row r="15" spans="1:15" s="285" customFormat="1">
      <c r="A15" s="221" t="s">
        <v>731</v>
      </c>
      <c r="B15" s="286" t="s">
        <v>40</v>
      </c>
      <c r="C15" s="285" t="s">
        <v>53</v>
      </c>
      <c r="D15" s="317">
        <v>728.04771815799336</v>
      </c>
      <c r="E15" s="317">
        <v>725.6823448265842</v>
      </c>
      <c r="F15" s="317">
        <v>765.71402715362376</v>
      </c>
      <c r="G15" s="317">
        <v>755.32206342976099</v>
      </c>
      <c r="H15" s="317">
        <v>751.83123914813143</v>
      </c>
      <c r="I15" s="66">
        <f t="shared" ref="I15:I19" si="2">SUM(D15:H15)</f>
        <v>3726.5973927160935</v>
      </c>
    </row>
    <row r="16" spans="1:15" s="285" customFormat="1">
      <c r="A16" s="285" t="s">
        <v>242</v>
      </c>
      <c r="B16" s="286" t="s">
        <v>40</v>
      </c>
      <c r="C16" s="285" t="s">
        <v>53</v>
      </c>
      <c r="D16" s="317">
        <v>280.46153846153845</v>
      </c>
      <c r="E16" s="317">
        <v>317.83516483516485</v>
      </c>
      <c r="F16" s="317">
        <v>478.90109890109886</v>
      </c>
      <c r="G16" s="317">
        <v>587.90109890109898</v>
      </c>
      <c r="H16" s="317">
        <v>618.90109890109898</v>
      </c>
      <c r="I16" s="66">
        <f t="shared" si="2"/>
        <v>2284</v>
      </c>
    </row>
    <row r="17" spans="1:12" s="285" customFormat="1">
      <c r="A17" s="285" t="s">
        <v>243</v>
      </c>
      <c r="B17" s="286" t="s">
        <v>40</v>
      </c>
      <c r="C17" s="285" t="s">
        <v>53</v>
      </c>
      <c r="D17" s="317">
        <v>614.88836607580777</v>
      </c>
      <c r="E17" s="317">
        <v>560.71254189998342</v>
      </c>
      <c r="F17" s="317">
        <v>521.15210233954394</v>
      </c>
      <c r="G17" s="317">
        <v>521.15210233954394</v>
      </c>
      <c r="H17" s="317">
        <v>521.15210233954394</v>
      </c>
      <c r="I17" s="66">
        <f t="shared" si="2"/>
        <v>2739.0572149944232</v>
      </c>
    </row>
    <row r="18" spans="1:12" s="285" customFormat="1">
      <c r="A18" s="285" t="s">
        <v>770</v>
      </c>
      <c r="B18" s="286" t="s">
        <v>40</v>
      </c>
      <c r="C18" s="285" t="s">
        <v>53</v>
      </c>
      <c r="D18" s="317">
        <v>2.4660000000000002</v>
      </c>
      <c r="E18" s="317">
        <v>3.657</v>
      </c>
      <c r="F18" s="317">
        <v>5.3680000000000003</v>
      </c>
      <c r="G18" s="317">
        <v>7.0880000000000001</v>
      </c>
      <c r="H18" s="317">
        <v>8.6340000000000003</v>
      </c>
      <c r="I18" s="66">
        <f t="shared" si="2"/>
        <v>27.213000000000001</v>
      </c>
    </row>
    <row r="19" spans="1:12" s="285" customFormat="1">
      <c r="A19" s="1" t="s">
        <v>20</v>
      </c>
      <c r="B19" s="286" t="s">
        <v>40</v>
      </c>
      <c r="C19" s="285" t="s">
        <v>53</v>
      </c>
      <c r="D19" s="295">
        <f>SUM(D15:D18)</f>
        <v>1625.8636226953395</v>
      </c>
      <c r="E19" s="295">
        <f t="shared" ref="E19:H19" si="3">SUM(E15:E18)</f>
        <v>1607.8870515617325</v>
      </c>
      <c r="F19" s="295">
        <f t="shared" si="3"/>
        <v>1771.1352283942665</v>
      </c>
      <c r="G19" s="295">
        <f t="shared" si="3"/>
        <v>1871.4632646704038</v>
      </c>
      <c r="H19" s="295">
        <f t="shared" si="3"/>
        <v>1900.5184403887743</v>
      </c>
      <c r="I19" s="248">
        <f t="shared" si="2"/>
        <v>8776.8676077105156</v>
      </c>
      <c r="K19" s="71"/>
      <c r="L19" s="71"/>
    </row>
    <row r="20" spans="1:12" s="285" customFormat="1">
      <c r="A20" s="1"/>
      <c r="B20" s="286"/>
      <c r="D20" s="295"/>
      <c r="E20" s="295"/>
      <c r="F20" s="295"/>
      <c r="G20" s="295"/>
      <c r="H20" s="295"/>
      <c r="I20" s="248"/>
    </row>
    <row r="21" spans="1:12" s="285" customFormat="1">
      <c r="A21" s="1" t="s">
        <v>734</v>
      </c>
      <c r="B21" s="389" t="s">
        <v>10</v>
      </c>
      <c r="C21" s="389" t="s">
        <v>11</v>
      </c>
      <c r="D21" s="388" t="s">
        <v>5</v>
      </c>
      <c r="E21" s="388" t="s">
        <v>6</v>
      </c>
      <c r="F21" s="388" t="s">
        <v>7</v>
      </c>
      <c r="G21" s="388" t="s">
        <v>8</v>
      </c>
      <c r="H21" s="388" t="s">
        <v>9</v>
      </c>
      <c r="I21" s="388" t="s">
        <v>20</v>
      </c>
    </row>
    <row r="22" spans="1:12" s="285" customFormat="1">
      <c r="A22" s="221"/>
      <c r="B22" s="286" t="s">
        <v>40</v>
      </c>
      <c r="C22" s="285" t="s">
        <v>53</v>
      </c>
      <c r="D22" s="249">
        <v>0</v>
      </c>
      <c r="E22" s="249">
        <v>0</v>
      </c>
      <c r="F22" s="249">
        <v>0</v>
      </c>
      <c r="G22" s="249">
        <v>0</v>
      </c>
      <c r="H22" s="249">
        <v>0</v>
      </c>
      <c r="I22" s="66">
        <f t="shared" ref="I22:I23" si="4">SUM(D22:H22)</f>
        <v>0</v>
      </c>
    </row>
    <row r="23" spans="1:12" s="285" customFormat="1">
      <c r="A23" s="1" t="s">
        <v>20</v>
      </c>
      <c r="B23" s="286" t="s">
        <v>40</v>
      </c>
      <c r="C23" s="285" t="s">
        <v>53</v>
      </c>
      <c r="D23" s="295">
        <f>SUM(D22:D22)</f>
        <v>0</v>
      </c>
      <c r="E23" s="295">
        <f>SUM(E22:E22)</f>
        <v>0</v>
      </c>
      <c r="F23" s="295">
        <f>SUM(F22:F22)</f>
        <v>0</v>
      </c>
      <c r="G23" s="295">
        <f>SUM(G22:G22)</f>
        <v>0</v>
      </c>
      <c r="H23" s="295">
        <f>SUM(H22:H22)</f>
        <v>0</v>
      </c>
      <c r="I23" s="248">
        <f t="shared" si="4"/>
        <v>0</v>
      </c>
    </row>
    <row r="24" spans="1:12" s="285" customFormat="1">
      <c r="A24" s="1"/>
      <c r="B24" s="286"/>
      <c r="D24" s="295"/>
      <c r="E24" s="295"/>
      <c r="F24" s="295"/>
      <c r="G24" s="295"/>
      <c r="H24" s="295"/>
      <c r="I24" s="248"/>
    </row>
    <row r="25" spans="1:12" s="285" customFormat="1">
      <c r="A25" s="1" t="s">
        <v>735</v>
      </c>
      <c r="B25" s="389" t="s">
        <v>10</v>
      </c>
      <c r="C25" s="389" t="s">
        <v>11</v>
      </c>
      <c r="D25" s="388" t="s">
        <v>5</v>
      </c>
      <c r="E25" s="388" t="s">
        <v>6</v>
      </c>
      <c r="F25" s="388" t="s">
        <v>7</v>
      </c>
      <c r="G25" s="388" t="s">
        <v>8</v>
      </c>
      <c r="H25" s="388" t="s">
        <v>9</v>
      </c>
      <c r="I25" s="388" t="s">
        <v>20</v>
      </c>
    </row>
    <row r="26" spans="1:12" s="285" customFormat="1">
      <c r="A26" s="221" t="s">
        <v>448</v>
      </c>
      <c r="B26" s="286" t="s">
        <v>40</v>
      </c>
      <c r="C26" s="285" t="s">
        <v>53</v>
      </c>
      <c r="D26" s="249">
        <v>216.49999999999994</v>
      </c>
      <c r="E26" s="249">
        <v>300.2</v>
      </c>
      <c r="F26" s="249">
        <v>268</v>
      </c>
      <c r="G26" s="249">
        <v>151.89999999999998</v>
      </c>
      <c r="H26" s="249">
        <v>111.70000000000005</v>
      </c>
      <c r="I26" s="66">
        <f t="shared" ref="I26:I30" si="5">SUM(D26:H26)</f>
        <v>1048.3</v>
      </c>
    </row>
    <row r="27" spans="1:12" s="285" customFormat="1">
      <c r="A27" s="221" t="s">
        <v>449</v>
      </c>
      <c r="B27" s="286" t="s">
        <v>40</v>
      </c>
      <c r="C27" s="285" t="s">
        <v>53</v>
      </c>
      <c r="D27" s="249">
        <v>251.3</v>
      </c>
      <c r="E27" s="249">
        <v>210.8</v>
      </c>
      <c r="F27" s="249">
        <v>110</v>
      </c>
      <c r="G27" s="249">
        <v>230.60000000000002</v>
      </c>
      <c r="H27" s="249">
        <v>110</v>
      </c>
      <c r="I27" s="66">
        <f t="shared" si="5"/>
        <v>912.7</v>
      </c>
    </row>
    <row r="28" spans="1:12" s="285" customFormat="1">
      <c r="A28" s="221" t="s">
        <v>450</v>
      </c>
      <c r="B28" s="286" t="s">
        <v>40</v>
      </c>
      <c r="C28" s="285" t="s">
        <v>53</v>
      </c>
      <c r="D28" s="249">
        <v>778.5</v>
      </c>
      <c r="E28" s="249">
        <v>778.5</v>
      </c>
      <c r="F28" s="249">
        <v>778.5</v>
      </c>
      <c r="G28" s="249">
        <v>778.5</v>
      </c>
      <c r="H28" s="249">
        <v>778.5</v>
      </c>
      <c r="I28" s="66">
        <f t="shared" si="5"/>
        <v>3892.5</v>
      </c>
    </row>
    <row r="29" spans="1:12" s="285" customFormat="1">
      <c r="A29" s="221" t="s">
        <v>462</v>
      </c>
      <c r="B29" s="286" t="s">
        <v>40</v>
      </c>
      <c r="C29" s="285" t="s">
        <v>53</v>
      </c>
      <c r="D29" s="249">
        <v>67</v>
      </c>
      <c r="E29" s="249">
        <v>68</v>
      </c>
      <c r="F29" s="249">
        <v>292</v>
      </c>
      <c r="G29" s="249">
        <v>247</v>
      </c>
      <c r="H29" s="249">
        <v>74</v>
      </c>
      <c r="I29" s="66">
        <f t="shared" si="5"/>
        <v>748</v>
      </c>
    </row>
    <row r="30" spans="1:12" s="285" customFormat="1">
      <c r="A30" s="221" t="s">
        <v>463</v>
      </c>
      <c r="B30" s="286" t="s">
        <v>40</v>
      </c>
      <c r="C30" s="285" t="s">
        <v>53</v>
      </c>
      <c r="D30" s="249">
        <v>83</v>
      </c>
      <c r="E30" s="249">
        <v>101</v>
      </c>
      <c r="F30" s="249">
        <v>0</v>
      </c>
      <c r="G30" s="249">
        <v>39</v>
      </c>
      <c r="H30" s="249">
        <v>0</v>
      </c>
      <c r="I30" s="66">
        <f t="shared" si="5"/>
        <v>223</v>
      </c>
    </row>
    <row r="31" spans="1:12" s="285" customFormat="1">
      <c r="A31" s="221" t="s">
        <v>452</v>
      </c>
      <c r="B31" s="286" t="s">
        <v>40</v>
      </c>
      <c r="C31" s="285" t="s">
        <v>53</v>
      </c>
      <c r="D31" s="249">
        <v>225</v>
      </c>
      <c r="E31" s="249">
        <v>0</v>
      </c>
      <c r="F31" s="249">
        <v>0</v>
      </c>
      <c r="G31" s="249">
        <v>0</v>
      </c>
      <c r="H31" s="249">
        <v>300</v>
      </c>
      <c r="I31" s="66">
        <f t="shared" ref="I31:I43" si="6">SUM(D31:H31)</f>
        <v>525</v>
      </c>
    </row>
    <row r="32" spans="1:12" s="285" customFormat="1">
      <c r="A32" s="221" t="s">
        <v>453</v>
      </c>
      <c r="B32" s="286" t="s">
        <v>40</v>
      </c>
      <c r="C32" s="285" t="s">
        <v>53</v>
      </c>
      <c r="D32" s="249">
        <v>0</v>
      </c>
      <c r="E32" s="249">
        <v>0</v>
      </c>
      <c r="F32" s="249">
        <v>0</v>
      </c>
      <c r="G32" s="249">
        <v>0</v>
      </c>
      <c r="H32" s="249">
        <v>0</v>
      </c>
      <c r="I32" s="66">
        <f t="shared" si="6"/>
        <v>0</v>
      </c>
    </row>
    <row r="33" spans="1:9" s="285" customFormat="1">
      <c r="A33" s="221" t="s">
        <v>454</v>
      </c>
      <c r="B33" s="286" t="s">
        <v>40</v>
      </c>
      <c r="C33" s="285" t="s">
        <v>53</v>
      </c>
      <c r="D33" s="249">
        <v>0</v>
      </c>
      <c r="E33" s="249">
        <v>0</v>
      </c>
      <c r="F33" s="249">
        <v>0</v>
      </c>
      <c r="G33" s="249">
        <v>0</v>
      </c>
      <c r="H33" s="249">
        <v>0</v>
      </c>
      <c r="I33" s="66">
        <f t="shared" si="6"/>
        <v>0</v>
      </c>
    </row>
    <row r="34" spans="1:9" s="285" customFormat="1">
      <c r="A34" s="221" t="s">
        <v>455</v>
      </c>
      <c r="B34" s="286" t="s">
        <v>40</v>
      </c>
      <c r="C34" s="285" t="s">
        <v>53</v>
      </c>
      <c r="D34" s="249">
        <v>210.06392499999998</v>
      </c>
      <c r="E34" s="249">
        <v>126.10716750000003</v>
      </c>
      <c r="F34" s="249">
        <v>100.908635</v>
      </c>
      <c r="G34" s="249">
        <v>23.277799999999999</v>
      </c>
      <c r="H34" s="249">
        <v>23.277799999999999</v>
      </c>
      <c r="I34" s="66">
        <f t="shared" si="6"/>
        <v>483.63532750000002</v>
      </c>
    </row>
    <row r="35" spans="1:9" s="285" customFormat="1">
      <c r="A35" s="221" t="s">
        <v>456</v>
      </c>
      <c r="B35" s="286" t="s">
        <v>40</v>
      </c>
      <c r="C35" s="285" t="s">
        <v>53</v>
      </c>
      <c r="D35" s="249">
        <v>0</v>
      </c>
      <c r="E35" s="249">
        <v>0</v>
      </c>
      <c r="F35" s="249">
        <v>0</v>
      </c>
      <c r="G35" s="249">
        <v>0</v>
      </c>
      <c r="H35" s="249">
        <v>0</v>
      </c>
      <c r="I35" s="66">
        <f t="shared" si="6"/>
        <v>0</v>
      </c>
    </row>
    <row r="36" spans="1:9" s="285" customFormat="1">
      <c r="A36" s="221" t="s">
        <v>457</v>
      </c>
      <c r="B36" s="286" t="s">
        <v>40</v>
      </c>
      <c r="C36" s="285" t="s">
        <v>53</v>
      </c>
      <c r="D36" s="249">
        <v>0</v>
      </c>
      <c r="E36" s="249">
        <v>0</v>
      </c>
      <c r="F36" s="249">
        <v>0</v>
      </c>
      <c r="G36" s="249">
        <v>0</v>
      </c>
      <c r="H36" s="249">
        <v>0</v>
      </c>
      <c r="I36" s="66">
        <f t="shared" si="6"/>
        <v>0</v>
      </c>
    </row>
    <row r="37" spans="1:9" s="285" customFormat="1">
      <c r="A37" s="221" t="s">
        <v>458</v>
      </c>
      <c r="B37" s="286" t="s">
        <v>40</v>
      </c>
      <c r="C37" s="285" t="s">
        <v>53</v>
      </c>
      <c r="D37" s="249">
        <v>37.602599999999995</v>
      </c>
      <c r="E37" s="249">
        <v>44.765000000000001</v>
      </c>
      <c r="F37" s="249">
        <v>26.859000000000002</v>
      </c>
      <c r="G37" s="249">
        <v>26.859000000000002</v>
      </c>
      <c r="H37" s="249">
        <v>26.859000000000002</v>
      </c>
      <c r="I37" s="66">
        <f t="shared" si="6"/>
        <v>162.94460000000001</v>
      </c>
    </row>
    <row r="38" spans="1:9" s="285" customFormat="1">
      <c r="A38" s="221" t="s">
        <v>459</v>
      </c>
      <c r="B38" s="286" t="s">
        <v>40</v>
      </c>
      <c r="C38" s="285" t="s">
        <v>53</v>
      </c>
      <c r="D38" s="249">
        <v>0</v>
      </c>
      <c r="E38" s="249">
        <v>0</v>
      </c>
      <c r="F38" s="249">
        <v>0</v>
      </c>
      <c r="G38" s="249">
        <v>0</v>
      </c>
      <c r="H38" s="249">
        <v>0</v>
      </c>
      <c r="I38" s="66">
        <f t="shared" si="6"/>
        <v>0</v>
      </c>
    </row>
    <row r="39" spans="1:9" s="285" customFormat="1">
      <c r="A39" s="221" t="s">
        <v>460</v>
      </c>
      <c r="B39" s="286" t="s">
        <v>40</v>
      </c>
      <c r="C39" s="285" t="s">
        <v>53</v>
      </c>
      <c r="D39" s="249">
        <v>0</v>
      </c>
      <c r="E39" s="249">
        <v>0</v>
      </c>
      <c r="F39" s="249">
        <v>0</v>
      </c>
      <c r="G39" s="249">
        <v>0</v>
      </c>
      <c r="H39" s="249">
        <v>0</v>
      </c>
      <c r="I39" s="66">
        <f t="shared" si="6"/>
        <v>0</v>
      </c>
    </row>
    <row r="40" spans="1:9" s="285" customFormat="1">
      <c r="A40" s="221" t="s">
        <v>461</v>
      </c>
      <c r="B40" s="286" t="s">
        <v>40</v>
      </c>
      <c r="C40" s="285" t="s">
        <v>53</v>
      </c>
      <c r="D40" s="249">
        <v>151</v>
      </c>
      <c r="E40" s="249">
        <v>151</v>
      </c>
      <c r="F40" s="249">
        <v>0</v>
      </c>
      <c r="G40" s="249">
        <v>0</v>
      </c>
      <c r="H40" s="249">
        <v>0</v>
      </c>
      <c r="I40" s="66">
        <f t="shared" si="6"/>
        <v>302</v>
      </c>
    </row>
    <row r="41" spans="1:9" s="285" customFormat="1">
      <c r="A41" s="221" t="s">
        <v>464</v>
      </c>
      <c r="B41" s="286" t="s">
        <v>40</v>
      </c>
      <c r="C41" s="285" t="s">
        <v>53</v>
      </c>
      <c r="D41" s="249">
        <v>0</v>
      </c>
      <c r="E41" s="249">
        <v>0</v>
      </c>
      <c r="F41" s="249">
        <v>0</v>
      </c>
      <c r="G41" s="249">
        <v>0</v>
      </c>
      <c r="H41" s="249">
        <v>0</v>
      </c>
      <c r="I41" s="66">
        <f t="shared" si="6"/>
        <v>0</v>
      </c>
    </row>
    <row r="42" spans="1:9" s="285" customFormat="1">
      <c r="A42" s="221" t="s">
        <v>465</v>
      </c>
      <c r="B42" s="286" t="s">
        <v>40</v>
      </c>
      <c r="C42" s="285" t="s">
        <v>53</v>
      </c>
      <c r="D42" s="249">
        <v>450.5625</v>
      </c>
      <c r="E42" s="249">
        <v>228.06249999999997</v>
      </c>
      <c r="F42" s="249">
        <v>144.625</v>
      </c>
      <c r="G42" s="249">
        <v>33.374999999999993</v>
      </c>
      <c r="H42" s="249">
        <v>33.374999999999993</v>
      </c>
      <c r="I42" s="66">
        <f t="shared" si="6"/>
        <v>890</v>
      </c>
    </row>
    <row r="43" spans="1:9" s="285" customFormat="1">
      <c r="A43" s="221" t="s">
        <v>466</v>
      </c>
      <c r="B43" s="286" t="s">
        <v>40</v>
      </c>
      <c r="C43" s="285" t="s">
        <v>53</v>
      </c>
      <c r="D43" s="249">
        <v>22.3825</v>
      </c>
      <c r="E43" s="249">
        <v>22.3825</v>
      </c>
      <c r="F43" s="249">
        <v>22.3825</v>
      </c>
      <c r="G43" s="249">
        <v>22.3825</v>
      </c>
      <c r="H43" s="249">
        <v>22.3825</v>
      </c>
      <c r="I43" s="66">
        <f t="shared" si="6"/>
        <v>111.91249999999999</v>
      </c>
    </row>
    <row r="44" spans="1:9" s="285" customFormat="1">
      <c r="A44" s="221" t="s">
        <v>685</v>
      </c>
      <c r="B44" s="286" t="s">
        <v>40</v>
      </c>
      <c r="C44" s="285" t="s">
        <v>53</v>
      </c>
      <c r="D44" s="249">
        <v>0</v>
      </c>
      <c r="E44" s="249">
        <v>0</v>
      </c>
      <c r="F44" s="249">
        <v>0</v>
      </c>
      <c r="G44" s="249">
        <v>0</v>
      </c>
      <c r="H44" s="249">
        <v>0</v>
      </c>
      <c r="I44" s="66"/>
    </row>
    <row r="45" spans="1:9" s="285" customFormat="1">
      <c r="A45" s="221" t="s">
        <v>686</v>
      </c>
      <c r="B45" s="286" t="s">
        <v>40</v>
      </c>
      <c r="C45" s="285" t="s">
        <v>53</v>
      </c>
      <c r="D45" s="249">
        <v>100</v>
      </c>
      <c r="E45" s="249">
        <v>100</v>
      </c>
      <c r="F45" s="249">
        <v>0</v>
      </c>
      <c r="G45" s="249">
        <v>0</v>
      </c>
      <c r="H45" s="249">
        <v>0</v>
      </c>
      <c r="I45" s="66"/>
    </row>
    <row r="46" spans="1:9" s="285" customFormat="1">
      <c r="A46" s="221" t="s">
        <v>687</v>
      </c>
      <c r="B46" s="286" t="s">
        <v>40</v>
      </c>
      <c r="C46" s="285" t="s">
        <v>53</v>
      </c>
      <c r="D46" s="249">
        <v>0</v>
      </c>
      <c r="E46" s="249">
        <v>100</v>
      </c>
      <c r="F46" s="249">
        <v>0</v>
      </c>
      <c r="G46" s="249">
        <v>0</v>
      </c>
      <c r="H46" s="249">
        <v>0</v>
      </c>
      <c r="I46" s="66"/>
    </row>
    <row r="47" spans="1:9" s="285" customFormat="1">
      <c r="A47" s="1" t="s">
        <v>20</v>
      </c>
      <c r="B47" s="286" t="s">
        <v>40</v>
      </c>
      <c r="C47" s="285" t="s">
        <v>53</v>
      </c>
      <c r="D47" s="295">
        <f>SUM(D26:D46)</f>
        <v>2592.911525</v>
      </c>
      <c r="E47" s="295">
        <f t="shared" ref="E47:H47" si="7">SUM(E26:E46)</f>
        <v>2230.8171675000003</v>
      </c>
      <c r="F47" s="295">
        <f t="shared" si="7"/>
        <v>1743.2751349999999</v>
      </c>
      <c r="G47" s="295">
        <f t="shared" si="7"/>
        <v>1552.8942999999999</v>
      </c>
      <c r="H47" s="295">
        <f t="shared" si="7"/>
        <v>1480.0943</v>
      </c>
      <c r="I47" s="248">
        <f t="shared" ref="I47" si="8">SUM(D47:H47)</f>
        <v>9599.9924275000012</v>
      </c>
    </row>
    <row r="48" spans="1:9" s="285" customFormat="1">
      <c r="A48" s="1"/>
      <c r="B48" s="286"/>
      <c r="D48" s="295"/>
      <c r="E48" s="295"/>
      <c r="F48" s="295"/>
      <c r="G48" s="295"/>
      <c r="H48" s="295"/>
      <c r="I48" s="248"/>
    </row>
    <row r="49" spans="1:12" s="285" customFormat="1">
      <c r="A49" s="1" t="s">
        <v>736</v>
      </c>
      <c r="B49" s="389" t="s">
        <v>10</v>
      </c>
      <c r="C49" s="389" t="s">
        <v>11</v>
      </c>
      <c r="D49" s="388" t="s">
        <v>5</v>
      </c>
      <c r="E49" s="388" t="s">
        <v>6</v>
      </c>
      <c r="F49" s="388" t="s">
        <v>7</v>
      </c>
      <c r="G49" s="388" t="s">
        <v>8</v>
      </c>
      <c r="H49" s="388" t="s">
        <v>9</v>
      </c>
      <c r="I49" s="388" t="s">
        <v>20</v>
      </c>
    </row>
    <row r="50" spans="1:12" s="285" customFormat="1">
      <c r="A50" s="221" t="s">
        <v>451</v>
      </c>
      <c r="B50" s="286" t="s">
        <v>40</v>
      </c>
      <c r="C50" s="285" t="s">
        <v>53</v>
      </c>
      <c r="D50" s="249">
        <v>47.5</v>
      </c>
      <c r="E50" s="249">
        <v>47.5</v>
      </c>
      <c r="F50" s="249">
        <v>10</v>
      </c>
      <c r="G50" s="249">
        <v>10</v>
      </c>
      <c r="H50" s="249">
        <v>10</v>
      </c>
      <c r="I50" s="66">
        <f t="shared" ref="I50:I51" si="9">SUM(D50:H50)</f>
        <v>125</v>
      </c>
    </row>
    <row r="51" spans="1:12" s="285" customFormat="1">
      <c r="A51" s="1" t="s">
        <v>20</v>
      </c>
      <c r="B51" s="1"/>
      <c r="C51" s="1"/>
      <c r="D51" s="248">
        <f>SUM(D50)</f>
        <v>47.5</v>
      </c>
      <c r="E51" s="248">
        <f t="shared" ref="E51:H51" si="10">SUM(E50)</f>
        <v>47.5</v>
      </c>
      <c r="F51" s="248">
        <f t="shared" si="10"/>
        <v>10</v>
      </c>
      <c r="G51" s="248">
        <f t="shared" si="10"/>
        <v>10</v>
      </c>
      <c r="H51" s="248">
        <f t="shared" si="10"/>
        <v>10</v>
      </c>
      <c r="I51" s="248">
        <f t="shared" si="9"/>
        <v>125</v>
      </c>
    </row>
    <row r="52" spans="1:12" s="285" customFormat="1">
      <c r="A52" s="1"/>
      <c r="B52" s="1"/>
      <c r="C52" s="1"/>
      <c r="D52" s="248"/>
      <c r="E52" s="248"/>
      <c r="F52" s="248"/>
      <c r="G52" s="248"/>
      <c r="H52" s="248"/>
      <c r="I52" s="248"/>
    </row>
    <row r="53" spans="1:12" s="285" customFormat="1">
      <c r="A53" s="1" t="s">
        <v>743</v>
      </c>
      <c r="B53" s="389" t="s">
        <v>10</v>
      </c>
      <c r="C53" s="389" t="s">
        <v>11</v>
      </c>
      <c r="D53" s="388" t="s">
        <v>5</v>
      </c>
      <c r="E53" s="388" t="s">
        <v>6</v>
      </c>
      <c r="F53" s="388" t="s">
        <v>7</v>
      </c>
      <c r="G53" s="388" t="s">
        <v>8</v>
      </c>
      <c r="H53" s="388" t="s">
        <v>9</v>
      </c>
      <c r="I53" s="388" t="s">
        <v>20</v>
      </c>
    </row>
    <row r="54" spans="1:12" s="285" customFormat="1">
      <c r="A54" s="221" t="s">
        <v>451</v>
      </c>
      <c r="B54" s="286" t="s">
        <v>40</v>
      </c>
      <c r="C54" s="285" t="s">
        <v>53</v>
      </c>
      <c r="D54" s="249">
        <v>0</v>
      </c>
      <c r="E54" s="249">
        <v>0</v>
      </c>
      <c r="F54" s="249">
        <v>0</v>
      </c>
      <c r="G54" s="249">
        <v>0</v>
      </c>
      <c r="H54" s="249">
        <v>0</v>
      </c>
      <c r="I54" s="66">
        <f t="shared" ref="I54:I55" si="11">SUM(D54:H54)</f>
        <v>0</v>
      </c>
    </row>
    <row r="55" spans="1:12" s="285" customFormat="1">
      <c r="A55" s="1" t="s">
        <v>20</v>
      </c>
      <c r="B55" s="1"/>
      <c r="C55" s="1"/>
      <c r="D55" s="248">
        <f>SUM(D54)</f>
        <v>0</v>
      </c>
      <c r="E55" s="248">
        <f t="shared" ref="E55:H55" si="12">SUM(E54)</f>
        <v>0</v>
      </c>
      <c r="F55" s="248">
        <f t="shared" si="12"/>
        <v>0</v>
      </c>
      <c r="G55" s="248">
        <f t="shared" si="12"/>
        <v>0</v>
      </c>
      <c r="H55" s="248">
        <f t="shared" si="12"/>
        <v>0</v>
      </c>
      <c r="I55" s="248">
        <f t="shared" si="11"/>
        <v>0</v>
      </c>
    </row>
    <row r="56" spans="1:12" s="285" customFormat="1">
      <c r="A56" s="1"/>
      <c r="B56" s="1"/>
      <c r="C56" s="1"/>
      <c r="D56" s="248"/>
      <c r="E56" s="248"/>
      <c r="F56" s="248"/>
      <c r="G56" s="248"/>
      <c r="H56" s="248"/>
      <c r="I56" s="248"/>
    </row>
    <row r="57" spans="1:12" s="285" customFormat="1" ht="18">
      <c r="A57" s="256" t="s">
        <v>467</v>
      </c>
      <c r="B57" s="286"/>
      <c r="C57" s="286"/>
      <c r="D57" s="249"/>
      <c r="E57" s="249"/>
      <c r="F57" s="249"/>
      <c r="G57" s="249"/>
      <c r="H57" s="249"/>
      <c r="I57" s="249"/>
    </row>
    <row r="58" spans="1:12" s="285" customFormat="1">
      <c r="A58" s="286"/>
      <c r="B58" s="286"/>
      <c r="C58" s="286"/>
      <c r="D58" s="249"/>
      <c r="E58" s="249"/>
      <c r="F58" s="249"/>
      <c r="G58" s="249"/>
      <c r="H58" s="249"/>
      <c r="I58" s="249"/>
    </row>
    <row r="59" spans="1:12" s="285" customFormat="1">
      <c r="A59" s="1" t="s">
        <v>90</v>
      </c>
      <c r="B59" s="389" t="s">
        <v>10</v>
      </c>
      <c r="C59" s="389" t="s">
        <v>11</v>
      </c>
      <c r="D59" s="390"/>
    </row>
    <row r="60" spans="1:12" s="285" customFormat="1">
      <c r="A60" s="221" t="s">
        <v>142</v>
      </c>
      <c r="B60" t="s">
        <v>12</v>
      </c>
      <c r="C60"/>
      <c r="D60" s="223">
        <v>5.0000000000000001E-3</v>
      </c>
    </row>
    <row r="62" spans="1:12">
      <c r="A62" s="1" t="s">
        <v>157</v>
      </c>
      <c r="B62" s="389" t="s">
        <v>10</v>
      </c>
      <c r="C62" s="389" t="s">
        <v>11</v>
      </c>
      <c r="D62" s="390"/>
    </row>
    <row r="63" spans="1:12">
      <c r="A63" s="221" t="s">
        <v>439</v>
      </c>
      <c r="B63" s="285" t="s">
        <v>12</v>
      </c>
      <c r="C63" s="285"/>
      <c r="D63" s="223">
        <v>0.03</v>
      </c>
      <c r="L63" s="71"/>
    </row>
    <row r="64" spans="1:12" s="285" customFormat="1">
      <c r="A64" s="221" t="s">
        <v>661</v>
      </c>
      <c r="B64" s="286" t="s">
        <v>40</v>
      </c>
      <c r="C64" s="285" t="s">
        <v>53</v>
      </c>
      <c r="D64" s="71">
        <f>D63*'FD forecasts'!I37/5</f>
        <v>135.88303211081504</v>
      </c>
      <c r="L64" s="71"/>
    </row>
    <row r="66" spans="1:11">
      <c r="A66" s="1" t="s">
        <v>18</v>
      </c>
      <c r="B66" s="389" t="s">
        <v>10</v>
      </c>
      <c r="C66" s="389" t="s">
        <v>11</v>
      </c>
      <c r="D66" s="388" t="s">
        <v>5</v>
      </c>
      <c r="E66" s="388" t="s">
        <v>6</v>
      </c>
      <c r="F66" s="388" t="s">
        <v>7</v>
      </c>
      <c r="G66" s="388" t="s">
        <v>8</v>
      </c>
      <c r="H66" s="388" t="s">
        <v>9</v>
      </c>
      <c r="I66" s="388" t="s">
        <v>20</v>
      </c>
    </row>
    <row r="67" spans="1:11">
      <c r="A67" t="s">
        <v>18</v>
      </c>
      <c r="B67" s="286" t="s">
        <v>40</v>
      </c>
      <c r="C67" s="285" t="s">
        <v>53</v>
      </c>
      <c r="D67" s="71">
        <v>861</v>
      </c>
      <c r="E67" s="71">
        <v>861</v>
      </c>
      <c r="F67" s="71">
        <v>861</v>
      </c>
      <c r="G67" s="71">
        <v>258.28571428571428</v>
      </c>
      <c r="H67" s="71">
        <v>258.28571428571428</v>
      </c>
      <c r="I67" s="66">
        <f t="shared" ref="I67" si="13">SUM(D67:H67)</f>
        <v>3099.5714285714284</v>
      </c>
    </row>
    <row r="69" spans="1:11">
      <c r="A69" s="1" t="s">
        <v>124</v>
      </c>
      <c r="B69" s="389" t="s">
        <v>10</v>
      </c>
      <c r="C69" s="389" t="s">
        <v>11</v>
      </c>
      <c r="D69" s="388" t="s">
        <v>5</v>
      </c>
      <c r="E69" s="388" t="s">
        <v>6</v>
      </c>
      <c r="F69" s="388" t="s">
        <v>7</v>
      </c>
      <c r="G69" s="388" t="s">
        <v>8</v>
      </c>
      <c r="H69" s="388" t="s">
        <v>9</v>
      </c>
      <c r="I69" s="388" t="s">
        <v>20</v>
      </c>
    </row>
    <row r="70" spans="1:11">
      <c r="A70" t="s">
        <v>124</v>
      </c>
      <c r="B70" s="286" t="s">
        <v>40</v>
      </c>
      <c r="C70" s="285" t="s">
        <v>53</v>
      </c>
      <c r="D70" s="249">
        <f>175/'FD forecasts'!D76</f>
        <v>169.98880583540969</v>
      </c>
      <c r="E70" s="249">
        <f>175/'FD forecasts'!E76</f>
        <v>166.65569199549969</v>
      </c>
      <c r="F70" s="249">
        <f>175/'FD forecasts'!F76</f>
        <v>163.38793332892126</v>
      </c>
      <c r="G70" s="249">
        <f>175/'FD forecasts'!G76</f>
        <v>160.18424836168748</v>
      </c>
      <c r="H70" s="249">
        <f>175/'FD forecasts'!H76</f>
        <v>157.04338074675246</v>
      </c>
      <c r="I70" s="249">
        <f t="shared" ref="I70" si="14">SUM(D70:H70)</f>
        <v>817.26006026827054</v>
      </c>
    </row>
    <row r="74" spans="1:11">
      <c r="D74" s="287"/>
      <c r="E74" s="287"/>
      <c r="F74" s="287"/>
      <c r="G74" s="287"/>
      <c r="H74" s="287"/>
    </row>
    <row r="75" spans="1:11">
      <c r="D75" s="287"/>
      <c r="E75" s="287"/>
      <c r="F75" s="287"/>
      <c r="G75" s="287"/>
      <c r="H75" s="287"/>
    </row>
    <row r="76" spans="1:11">
      <c r="D76" s="287"/>
      <c r="E76" s="287"/>
      <c r="F76" s="287"/>
      <c r="G76" s="287"/>
      <c r="H76" s="287"/>
      <c r="I76" s="287"/>
      <c r="J76" s="71"/>
      <c r="K76" s="71"/>
    </row>
    <row r="79" spans="1:11">
      <c r="J79" s="71"/>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N76"/>
  <sheetViews>
    <sheetView showGridLines="0" topLeftCell="A12" zoomScale="80" zoomScaleNormal="80" workbookViewId="0">
      <selection activeCell="A12" sqref="A12"/>
    </sheetView>
  </sheetViews>
  <sheetFormatPr defaultColWidth="8.6640625" defaultRowHeight="14.25"/>
  <cols>
    <col min="1" max="1" width="99.796875" style="285" customWidth="1"/>
    <col min="2" max="2" width="8.6640625" style="285"/>
    <col min="3" max="3" width="14.33203125" style="285" customWidth="1"/>
    <col min="4" max="8" width="9.1328125" style="285" bestFit="1" customWidth="1"/>
    <col min="9" max="9" width="10.1328125" style="285" bestFit="1" customWidth="1"/>
    <col min="10" max="16384" width="8.6640625" style="285"/>
  </cols>
  <sheetData>
    <row r="1" spans="1:11" ht="18">
      <c r="A1" s="256" t="s">
        <v>688</v>
      </c>
      <c r="B1" s="257"/>
    </row>
    <row r="3" spans="1:11" ht="18">
      <c r="A3" s="256" t="s">
        <v>557</v>
      </c>
      <c r="K3" s="1"/>
    </row>
    <row r="4" spans="1:11">
      <c r="B4" s="389" t="s">
        <v>10</v>
      </c>
      <c r="C4" s="389" t="s">
        <v>11</v>
      </c>
      <c r="D4" s="388" t="s">
        <v>5</v>
      </c>
      <c r="E4" s="388" t="s">
        <v>6</v>
      </c>
      <c r="F4" s="388" t="s">
        <v>7</v>
      </c>
      <c r="G4" s="388" t="s">
        <v>8</v>
      </c>
      <c r="H4" s="388" t="s">
        <v>9</v>
      </c>
      <c r="I4" s="388" t="s">
        <v>20</v>
      </c>
      <c r="K4" s="371"/>
    </row>
    <row r="5" spans="1:11">
      <c r="A5" s="285" t="s">
        <v>737</v>
      </c>
      <c r="B5" s="286" t="s">
        <v>40</v>
      </c>
      <c r="C5" s="285" t="s">
        <v>53</v>
      </c>
      <c r="D5" s="325">
        <v>0</v>
      </c>
      <c r="E5" s="325">
        <v>0</v>
      </c>
      <c r="F5" s="325">
        <v>0</v>
      </c>
      <c r="G5" s="325">
        <v>0</v>
      </c>
      <c r="H5" s="325">
        <v>0</v>
      </c>
      <c r="I5" s="66">
        <f t="shared" ref="I5:I10" si="0">SUM(D5:H5)</f>
        <v>0</v>
      </c>
      <c r="K5" s="371"/>
    </row>
    <row r="6" spans="1:11">
      <c r="A6" s="285" t="s">
        <v>738</v>
      </c>
      <c r="B6" s="286" t="s">
        <v>40</v>
      </c>
      <c r="C6" s="285" t="s">
        <v>53</v>
      </c>
      <c r="D6" s="325">
        <v>476.34149294874948</v>
      </c>
      <c r="E6" s="325">
        <v>781.82578520001323</v>
      </c>
      <c r="F6" s="325">
        <v>672.24343703991735</v>
      </c>
      <c r="G6" s="325">
        <v>693.21216166509316</v>
      </c>
      <c r="H6" s="325">
        <v>664.79820762004476</v>
      </c>
      <c r="I6" s="66">
        <f t="shared" si="0"/>
        <v>3288.4210844738177</v>
      </c>
    </row>
    <row r="7" spans="1:11">
      <c r="A7" s="285" t="s">
        <v>740</v>
      </c>
      <c r="B7" s="286" t="s">
        <v>40</v>
      </c>
      <c r="C7" s="285" t="s">
        <v>53</v>
      </c>
      <c r="D7" s="325">
        <v>0</v>
      </c>
      <c r="E7" s="325">
        <v>0</v>
      </c>
      <c r="F7" s="325">
        <v>0</v>
      </c>
      <c r="G7" s="325">
        <v>0</v>
      </c>
      <c r="H7" s="325">
        <v>0</v>
      </c>
      <c r="I7" s="66">
        <f t="shared" si="0"/>
        <v>0</v>
      </c>
    </row>
    <row r="8" spans="1:11">
      <c r="A8" s="285" t="s">
        <v>739</v>
      </c>
      <c r="B8" s="286" t="s">
        <v>40</v>
      </c>
      <c r="C8" s="285" t="s">
        <v>53</v>
      </c>
      <c r="D8" s="325">
        <v>2306.3765570571759</v>
      </c>
      <c r="E8" s="325">
        <v>2674.2570850586631</v>
      </c>
      <c r="F8" s="325">
        <v>924.85174439715649</v>
      </c>
      <c r="G8" s="325">
        <v>848.72457851358513</v>
      </c>
      <c r="H8" s="325">
        <v>751.89003497341901</v>
      </c>
      <c r="I8" s="66">
        <f t="shared" si="0"/>
        <v>7506.1</v>
      </c>
    </row>
    <row r="9" spans="1:11">
      <c r="A9" s="285" t="s">
        <v>741</v>
      </c>
      <c r="B9" s="286" t="s">
        <v>40</v>
      </c>
      <c r="C9" s="285" t="s">
        <v>53</v>
      </c>
      <c r="D9" s="325">
        <v>0</v>
      </c>
      <c r="E9" s="325">
        <v>0</v>
      </c>
      <c r="F9" s="325">
        <v>0</v>
      </c>
      <c r="G9" s="325">
        <v>0</v>
      </c>
      <c r="H9" s="325">
        <v>0</v>
      </c>
      <c r="I9" s="66">
        <f t="shared" si="0"/>
        <v>0</v>
      </c>
    </row>
    <row r="10" spans="1:11">
      <c r="A10" s="285" t="s">
        <v>742</v>
      </c>
      <c r="B10" s="286" t="s">
        <v>40</v>
      </c>
      <c r="C10" s="285" t="s">
        <v>53</v>
      </c>
      <c r="D10" s="325">
        <v>0</v>
      </c>
      <c r="E10" s="325">
        <v>0</v>
      </c>
      <c r="F10" s="325">
        <v>0</v>
      </c>
      <c r="G10" s="325">
        <v>0</v>
      </c>
      <c r="H10" s="325">
        <v>0</v>
      </c>
      <c r="I10" s="66">
        <f t="shared" si="0"/>
        <v>0</v>
      </c>
    </row>
    <row r="12" spans="1:11" ht="18">
      <c r="A12" s="256" t="s">
        <v>546</v>
      </c>
    </row>
    <row r="13" spans="1:11">
      <c r="B13" s="286"/>
      <c r="I13" s="66"/>
    </row>
    <row r="14" spans="1:11">
      <c r="A14" s="1" t="s">
        <v>468</v>
      </c>
      <c r="B14" s="389" t="s">
        <v>10</v>
      </c>
      <c r="C14" s="389" t="s">
        <v>11</v>
      </c>
      <c r="D14" s="388" t="s">
        <v>5</v>
      </c>
      <c r="E14" s="388" t="s">
        <v>6</v>
      </c>
      <c r="F14" s="388" t="s">
        <v>7</v>
      </c>
      <c r="G14" s="388" t="s">
        <v>8</v>
      </c>
      <c r="H14" s="388" t="s">
        <v>9</v>
      </c>
      <c r="I14" s="388" t="s">
        <v>20</v>
      </c>
    </row>
    <row r="15" spans="1:11">
      <c r="A15" s="221" t="s">
        <v>745</v>
      </c>
      <c r="B15" s="286" t="s">
        <v>40</v>
      </c>
      <c r="C15" s="285" t="s">
        <v>53</v>
      </c>
      <c r="D15" s="71">
        <f>'FD allowances'!D12+'FD forecasts'!D5</f>
        <v>12855.73010746504</v>
      </c>
      <c r="E15" s="71">
        <f>'FD allowances'!E12+'FD forecasts'!E5</f>
        <v>12770.444295520358</v>
      </c>
      <c r="F15" s="71">
        <f>'FD allowances'!F12+'FD forecasts'!F5</f>
        <v>12814.830909612774</v>
      </c>
      <c r="G15" s="71">
        <f>'FD allowances'!G12+'FD forecasts'!G5</f>
        <v>13147.863538147412</v>
      </c>
      <c r="H15" s="71">
        <f>'FD allowances'!H12+'FD forecasts'!H5</f>
        <v>11606.291555256692</v>
      </c>
      <c r="I15" s="66">
        <f t="shared" ref="I15:I17" si="1">SUM(D15:H15)</f>
        <v>63195.160406002273</v>
      </c>
    </row>
    <row r="16" spans="1:11">
      <c r="A16" s="221" t="s">
        <v>746</v>
      </c>
      <c r="B16" s="286" t="s">
        <v>40</v>
      </c>
      <c r="C16" s="285" t="s">
        <v>53</v>
      </c>
      <c r="D16" s="71">
        <f>'FD allowances'!D23+'FD forecasts'!D7</f>
        <v>0</v>
      </c>
      <c r="E16" s="71">
        <f>'FD allowances'!E23+'FD forecasts'!E7</f>
        <v>0</v>
      </c>
      <c r="F16" s="71">
        <f>'FD allowances'!F23+'FD forecasts'!F7</f>
        <v>0</v>
      </c>
      <c r="G16" s="71">
        <f>'FD allowances'!G23+'FD forecasts'!G7</f>
        <v>0</v>
      </c>
      <c r="H16" s="71">
        <f>'FD allowances'!H23+'FD forecasts'!H7</f>
        <v>0</v>
      </c>
      <c r="I16" s="66">
        <f t="shared" si="1"/>
        <v>0</v>
      </c>
    </row>
    <row r="17" spans="1:14">
      <c r="A17" s="221" t="s">
        <v>747</v>
      </c>
      <c r="B17" s="286" t="s">
        <v>40</v>
      </c>
      <c r="C17" s="285" t="s">
        <v>53</v>
      </c>
      <c r="D17" s="297">
        <f>'FD allowances'!D51+'FD forecasts'!D9</f>
        <v>47.5</v>
      </c>
      <c r="E17" s="297">
        <f>'FD allowances'!E51+'FD forecasts'!E9</f>
        <v>47.5</v>
      </c>
      <c r="F17" s="297">
        <f>'FD allowances'!F51+'FD forecasts'!F9</f>
        <v>10</v>
      </c>
      <c r="G17" s="297">
        <f>'FD allowances'!G51+'FD forecasts'!G9</f>
        <v>10</v>
      </c>
      <c r="H17" s="297">
        <f>'FD allowances'!H51+'FD forecasts'!H9</f>
        <v>10</v>
      </c>
      <c r="I17" s="66">
        <f t="shared" si="1"/>
        <v>125</v>
      </c>
    </row>
    <row r="18" spans="1:14">
      <c r="A18" s="221"/>
      <c r="B18" s="286"/>
      <c r="D18" s="297"/>
      <c r="E18" s="297"/>
      <c r="F18" s="297"/>
      <c r="G18" s="297"/>
      <c r="H18" s="297"/>
      <c r="I18" s="66"/>
    </row>
    <row r="19" spans="1:14">
      <c r="A19" s="1" t="s">
        <v>744</v>
      </c>
      <c r="B19" s="389" t="s">
        <v>10</v>
      </c>
      <c r="C19" s="389" t="s">
        <v>11</v>
      </c>
      <c r="D19" s="388" t="s">
        <v>5</v>
      </c>
      <c r="E19" s="388" t="s">
        <v>6</v>
      </c>
      <c r="F19" s="388" t="s">
        <v>7</v>
      </c>
      <c r="G19" s="388" t="s">
        <v>8</v>
      </c>
      <c r="H19" s="388" t="s">
        <v>9</v>
      </c>
      <c r="I19" s="388" t="s">
        <v>20</v>
      </c>
    </row>
    <row r="20" spans="1:14">
      <c r="A20" s="221" t="s">
        <v>745</v>
      </c>
      <c r="B20" s="286" t="s">
        <v>40</v>
      </c>
      <c r="C20" s="285" t="s">
        <v>53</v>
      </c>
      <c r="D20" s="71">
        <f>'FD allowances'!D19+'FD forecasts'!D6</f>
        <v>2102.2051156440889</v>
      </c>
      <c r="E20" s="71">
        <f>'FD allowances'!E19+'FD forecasts'!E6</f>
        <v>2389.7128367617456</v>
      </c>
      <c r="F20" s="71">
        <f>'FD allowances'!F19+'FD forecasts'!F6</f>
        <v>2443.3786654341839</v>
      </c>
      <c r="G20" s="71">
        <f>'FD allowances'!G19+'FD forecasts'!G6</f>
        <v>2564.6754263354969</v>
      </c>
      <c r="H20" s="71">
        <f>'FD allowances'!H19+'FD forecasts'!H6</f>
        <v>2565.3166480088189</v>
      </c>
      <c r="I20" s="66">
        <f t="shared" ref="I20:I22" si="2">SUM(D20:H20)</f>
        <v>12065.288692184335</v>
      </c>
    </row>
    <row r="21" spans="1:14">
      <c r="A21" s="221" t="s">
        <v>746</v>
      </c>
      <c r="B21" s="286" t="s">
        <v>40</v>
      </c>
      <c r="C21" s="285" t="s">
        <v>53</v>
      </c>
      <c r="D21" s="71">
        <f>'FD allowances'!D47+'FD forecasts'!D8</f>
        <v>4899.2880820571754</v>
      </c>
      <c r="E21" s="71">
        <f>'FD allowances'!E47+'FD forecasts'!E8</f>
        <v>4905.0742525586629</v>
      </c>
      <c r="F21" s="71">
        <f>'FD allowances'!F47+'FD forecasts'!F8</f>
        <v>2668.1268793971562</v>
      </c>
      <c r="G21" s="71">
        <f>'FD allowances'!G47+'FD forecasts'!G8</f>
        <v>2401.6188785135851</v>
      </c>
      <c r="H21" s="71">
        <f>'FD allowances'!H47+'FD forecasts'!H8</f>
        <v>2231.9843349734192</v>
      </c>
      <c r="I21" s="66">
        <f t="shared" si="2"/>
        <v>17106.0924275</v>
      </c>
    </row>
    <row r="22" spans="1:14">
      <c r="A22" s="221" t="s">
        <v>747</v>
      </c>
      <c r="B22" s="286" t="s">
        <v>40</v>
      </c>
      <c r="C22" s="285" t="s">
        <v>53</v>
      </c>
      <c r="D22" s="297">
        <f>'FD allowances'!D55+'FD forecasts'!D10</f>
        <v>0</v>
      </c>
      <c r="E22" s="297">
        <f>'FD allowances'!E55+'FD forecasts'!E10</f>
        <v>0</v>
      </c>
      <c r="F22" s="297">
        <f>'FD allowances'!F55+'FD forecasts'!F10</f>
        <v>0</v>
      </c>
      <c r="G22" s="297">
        <f>'FD allowances'!G55+'FD forecasts'!G10</f>
        <v>0</v>
      </c>
      <c r="H22" s="297">
        <f>'FD allowances'!H55+'FD forecasts'!H10</f>
        <v>0</v>
      </c>
      <c r="I22" s="66">
        <f t="shared" si="2"/>
        <v>0</v>
      </c>
    </row>
    <row r="23" spans="1:14">
      <c r="A23" s="221"/>
      <c r="B23" s="286"/>
      <c r="D23" s="297"/>
      <c r="E23" s="297"/>
      <c r="F23" s="297"/>
      <c r="G23" s="297"/>
      <c r="H23" s="297"/>
      <c r="I23" s="66"/>
    </row>
    <row r="24" spans="1:14" ht="12.85" customHeight="1">
      <c r="A24" s="1" t="s">
        <v>638</v>
      </c>
      <c r="B24" s="286" t="s">
        <v>40</v>
      </c>
      <c r="C24" s="285" t="s">
        <v>53</v>
      </c>
      <c r="D24" s="71">
        <f>'FD allowances'!D67</f>
        <v>861</v>
      </c>
      <c r="E24" s="71">
        <f>'FD allowances'!E67</f>
        <v>861</v>
      </c>
      <c r="F24" s="71">
        <f>'FD allowances'!F67</f>
        <v>861</v>
      </c>
      <c r="G24" s="71">
        <f>'FD allowances'!G67</f>
        <v>258.28571428571428</v>
      </c>
      <c r="H24" s="71">
        <f>'FD allowances'!H67</f>
        <v>258.28571428571428</v>
      </c>
      <c r="I24" s="66">
        <f t="shared" ref="I24" si="3">SUM(D24:H24)</f>
        <v>3099.5714285714284</v>
      </c>
    </row>
    <row r="25" spans="1:14">
      <c r="A25" s="221"/>
      <c r="B25" s="286"/>
      <c r="D25" s="71"/>
      <c r="E25" s="71"/>
      <c r="F25" s="71"/>
      <c r="G25" s="71"/>
      <c r="H25" s="71"/>
      <c r="I25" s="66"/>
    </row>
    <row r="26" spans="1:14">
      <c r="A26" s="1" t="s">
        <v>771</v>
      </c>
      <c r="B26" s="389" t="s">
        <v>10</v>
      </c>
      <c r="C26" s="389" t="s">
        <v>11</v>
      </c>
      <c r="D26" s="388" t="s">
        <v>5</v>
      </c>
      <c r="E26" s="388" t="s">
        <v>6</v>
      </c>
      <c r="F26" s="388" t="s">
        <v>7</v>
      </c>
      <c r="G26" s="388" t="s">
        <v>8</v>
      </c>
      <c r="H26" s="388" t="s">
        <v>9</v>
      </c>
      <c r="I26" s="388" t="s">
        <v>20</v>
      </c>
    </row>
    <row r="27" spans="1:14">
      <c r="A27" s="232" t="s">
        <v>727</v>
      </c>
      <c r="B27" s="286" t="s">
        <v>40</v>
      </c>
      <c r="C27" s="286" t="s">
        <v>53</v>
      </c>
      <c r="D27" s="325">
        <v>250</v>
      </c>
      <c r="E27" s="325">
        <v>250</v>
      </c>
      <c r="F27" s="325">
        <v>250</v>
      </c>
      <c r="G27" s="325">
        <v>250</v>
      </c>
      <c r="H27" s="325">
        <v>250</v>
      </c>
      <c r="I27" s="66">
        <f t="shared" ref="I27:I31" si="4">SUM(D27:H27)</f>
        <v>1250</v>
      </c>
      <c r="J27" s="71"/>
      <c r="K27" s="71"/>
      <c r="L27" s="71"/>
      <c r="M27" s="71"/>
      <c r="N27" s="71"/>
    </row>
    <row r="28" spans="1:14">
      <c r="A28" s="232" t="s">
        <v>726</v>
      </c>
      <c r="B28" s="286" t="s">
        <v>40</v>
      </c>
      <c r="C28" s="286" t="s">
        <v>53</v>
      </c>
      <c r="D28" s="325">
        <v>338.16424067447781</v>
      </c>
      <c r="E28" s="325">
        <v>337.06557000141885</v>
      </c>
      <c r="F28" s="325">
        <v>337.2315663629949</v>
      </c>
      <c r="G28" s="325">
        <v>332.65479477476515</v>
      </c>
      <c r="H28" s="325">
        <v>331.11738511705266</v>
      </c>
      <c r="I28" s="66">
        <f t="shared" si="4"/>
        <v>1676.2335569307095</v>
      </c>
      <c r="J28" s="71"/>
      <c r="K28" s="71"/>
      <c r="L28" s="71"/>
      <c r="M28" s="71"/>
      <c r="N28" s="71"/>
    </row>
    <row r="29" spans="1:14">
      <c r="A29" s="286" t="s">
        <v>179</v>
      </c>
      <c r="B29" s="286" t="s">
        <v>40</v>
      </c>
      <c r="C29" s="286" t="s">
        <v>53</v>
      </c>
      <c r="D29" s="325">
        <v>100.00000000000001</v>
      </c>
      <c r="E29" s="325">
        <v>100.00000000000001</v>
      </c>
      <c r="F29" s="325">
        <v>100</v>
      </c>
      <c r="G29" s="325">
        <v>99.999999999999986</v>
      </c>
      <c r="H29" s="325">
        <v>99.999999999999972</v>
      </c>
      <c r="I29" s="66">
        <f t="shared" si="4"/>
        <v>500</v>
      </c>
    </row>
    <row r="30" spans="1:14">
      <c r="A30" s="286" t="s">
        <v>198</v>
      </c>
      <c r="B30" s="286" t="s">
        <v>40</v>
      </c>
      <c r="C30" s="286" t="s">
        <v>53</v>
      </c>
      <c r="D30" s="325">
        <v>143</v>
      </c>
      <c r="E30" s="325">
        <v>143.00000000000003</v>
      </c>
      <c r="F30" s="325">
        <v>143</v>
      </c>
      <c r="G30" s="325">
        <v>143</v>
      </c>
      <c r="H30" s="325">
        <v>0</v>
      </c>
      <c r="I30" s="66">
        <f t="shared" si="4"/>
        <v>572</v>
      </c>
    </row>
    <row r="31" spans="1:14">
      <c r="A31" s="221" t="s">
        <v>633</v>
      </c>
      <c r="B31" s="286" t="s">
        <v>40</v>
      </c>
      <c r="C31" s="286" t="s">
        <v>53</v>
      </c>
      <c r="D31" s="325">
        <v>120</v>
      </c>
      <c r="E31" s="325">
        <v>120</v>
      </c>
      <c r="F31" s="325">
        <v>120</v>
      </c>
      <c r="G31" s="325">
        <v>120</v>
      </c>
      <c r="H31" s="325">
        <v>120</v>
      </c>
      <c r="I31" s="66">
        <f t="shared" si="4"/>
        <v>600</v>
      </c>
    </row>
    <row r="32" spans="1:14">
      <c r="A32" s="1" t="s">
        <v>634</v>
      </c>
      <c r="B32" s="286" t="s">
        <v>40</v>
      </c>
      <c r="C32" s="285" t="s">
        <v>53</v>
      </c>
      <c r="D32" s="376">
        <f>SUM(D27:D31)</f>
        <v>951.16424067447781</v>
      </c>
      <c r="E32" s="376">
        <f t="shared" ref="E32:H32" si="5">SUM(E27:E31)</f>
        <v>950.06557000141879</v>
      </c>
      <c r="F32" s="376">
        <f t="shared" si="5"/>
        <v>950.23156636299495</v>
      </c>
      <c r="G32" s="376">
        <f t="shared" si="5"/>
        <v>945.65479477476515</v>
      </c>
      <c r="H32" s="376">
        <f t="shared" si="5"/>
        <v>801.11738511705266</v>
      </c>
      <c r="I32" s="248">
        <f>SUM(D32:H32)</f>
        <v>4598.2335569307088</v>
      </c>
    </row>
    <row r="33" spans="1:9">
      <c r="A33" s="1"/>
      <c r="B33" s="1"/>
      <c r="C33" s="1"/>
      <c r="D33" s="236"/>
      <c r="E33" s="236"/>
      <c r="F33" s="236"/>
      <c r="G33" s="236"/>
      <c r="H33" s="236"/>
      <c r="I33" s="227"/>
    </row>
    <row r="34" spans="1:9">
      <c r="A34" s="285" t="s">
        <v>635</v>
      </c>
      <c r="B34" s="286" t="s">
        <v>40</v>
      </c>
      <c r="C34" s="285" t="s">
        <v>53</v>
      </c>
      <c r="D34" s="249">
        <f>'SONI BPDT RAB'!I41</f>
        <v>5074.2615384615383</v>
      </c>
      <c r="E34" s="249">
        <f>'SONI BPDT RAB'!J41</f>
        <v>3991.1461538461544</v>
      </c>
      <c r="F34" s="249">
        <f>'SONI BPDT RAB'!K41</f>
        <v>3299.6846153846159</v>
      </c>
      <c r="G34" s="249">
        <f>'SONI BPDT RAB'!L41</f>
        <v>2784.1153846153852</v>
      </c>
      <c r="H34" s="249">
        <f>'SONI BPDT RAB'!M41</f>
        <v>2149.7307692307691</v>
      </c>
      <c r="I34" s="66">
        <f>SUM(D34:H34)</f>
        <v>17298.938461538462</v>
      </c>
    </row>
    <row r="35" spans="1:9">
      <c r="A35" s="285" t="s">
        <v>637</v>
      </c>
      <c r="B35" s="286" t="s">
        <v>40</v>
      </c>
      <c r="C35" s="285" t="s">
        <v>53</v>
      </c>
      <c r="D35" s="249">
        <v>150</v>
      </c>
      <c r="E35" s="249">
        <v>150</v>
      </c>
      <c r="F35" s="249">
        <v>150</v>
      </c>
      <c r="G35" s="249">
        <v>150</v>
      </c>
      <c r="H35" s="249">
        <v>150</v>
      </c>
      <c r="I35" s="66">
        <f>SUM(D35:H35)</f>
        <v>750</v>
      </c>
    </row>
    <row r="36" spans="1:9">
      <c r="A36" s="1"/>
      <c r="B36" s="1"/>
      <c r="C36" s="1"/>
      <c r="D36" s="227"/>
      <c r="E36" s="227"/>
      <c r="F36" s="227"/>
      <c r="G36" s="227"/>
      <c r="H36" s="227"/>
      <c r="I36" s="227"/>
    </row>
    <row r="37" spans="1:9">
      <c r="A37" s="186" t="s">
        <v>636</v>
      </c>
      <c r="B37" s="286" t="s">
        <v>40</v>
      </c>
      <c r="C37" s="285" t="s">
        <v>53</v>
      </c>
      <c r="D37" s="295">
        <f>D32+D34+D35</f>
        <v>6175.425779136016</v>
      </c>
      <c r="E37" s="295">
        <f t="shared" ref="E37:H37" si="6">E32+E34+E35</f>
        <v>5091.211723847573</v>
      </c>
      <c r="F37" s="295">
        <f t="shared" si="6"/>
        <v>4399.9161817476106</v>
      </c>
      <c r="G37" s="295">
        <f t="shared" si="6"/>
        <v>3879.7701793901506</v>
      </c>
      <c r="H37" s="295">
        <f t="shared" si="6"/>
        <v>3100.8481543478219</v>
      </c>
      <c r="I37" s="295">
        <f>SUM(D37:H37)</f>
        <v>22647.172018469173</v>
      </c>
    </row>
    <row r="38" spans="1:9">
      <c r="A38" s="186"/>
      <c r="B38" s="286"/>
      <c r="D38" s="295"/>
      <c r="E38" s="295"/>
      <c r="F38" s="295"/>
      <c r="G38" s="295"/>
      <c r="H38" s="295"/>
      <c r="I38" s="295"/>
    </row>
    <row r="39" spans="1:9">
      <c r="A39" s="1" t="s">
        <v>244</v>
      </c>
      <c r="B39" s="389" t="s">
        <v>10</v>
      </c>
      <c r="C39" s="389" t="s">
        <v>11</v>
      </c>
      <c r="D39" s="388" t="s">
        <v>5</v>
      </c>
      <c r="E39" s="388" t="s">
        <v>6</v>
      </c>
      <c r="F39" s="388" t="s">
        <v>7</v>
      </c>
      <c r="G39" s="388" t="s">
        <v>8</v>
      </c>
      <c r="H39" s="388" t="s">
        <v>9</v>
      </c>
      <c r="I39" s="388" t="s">
        <v>20</v>
      </c>
    </row>
    <row r="40" spans="1:9">
      <c r="A40" s="221" t="s">
        <v>232</v>
      </c>
      <c r="B40" s="286" t="s">
        <v>40</v>
      </c>
      <c r="C40" s="285" t="s">
        <v>53</v>
      </c>
      <c r="D40" s="71">
        <f>'SONI BPDT RAB'!I42</f>
        <v>919.23076923076917</v>
      </c>
      <c r="E40" s="71">
        <f>'SONI BPDT RAB'!J42</f>
        <v>992.92307692307702</v>
      </c>
      <c r="F40" s="71">
        <f>'SONI BPDT RAB'!K42</f>
        <v>1712.0615384615387</v>
      </c>
      <c r="G40" s="71">
        <f>'SONI BPDT RAB'!L42</f>
        <v>8611.3923076923093</v>
      </c>
      <c r="H40" s="71">
        <f>'SONI BPDT RAB'!M42</f>
        <v>9013.3538461538483</v>
      </c>
      <c r="I40" s="71">
        <f>SUM(D40:H40)</f>
        <v>21248.961538461543</v>
      </c>
    </row>
    <row r="41" spans="1:9">
      <c r="A41" s="221" t="s">
        <v>469</v>
      </c>
      <c r="B41" s="286" t="s">
        <v>40</v>
      </c>
      <c r="C41" s="285" t="s">
        <v>53</v>
      </c>
      <c r="D41" s="285">
        <v>0</v>
      </c>
      <c r="E41" s="285">
        <v>0</v>
      </c>
      <c r="F41" s="285">
        <v>0</v>
      </c>
      <c r="G41" s="285">
        <v>0</v>
      </c>
      <c r="H41" s="285">
        <v>0</v>
      </c>
      <c r="I41" s="71">
        <f>SUM(D41:H41)</f>
        <v>0</v>
      </c>
    </row>
    <row r="42" spans="1:9">
      <c r="A42" s="221"/>
      <c r="B42" s="286"/>
      <c r="I42" s="71"/>
    </row>
    <row r="43" spans="1:9">
      <c r="A43" s="1" t="s">
        <v>544</v>
      </c>
      <c r="B43" s="389" t="s">
        <v>10</v>
      </c>
      <c r="C43" s="389" t="s">
        <v>11</v>
      </c>
      <c r="D43" s="388" t="s">
        <v>5</v>
      </c>
      <c r="E43" s="388" t="s">
        <v>6</v>
      </c>
      <c r="F43" s="388" t="s">
        <v>7</v>
      </c>
      <c r="G43" s="388" t="s">
        <v>8</v>
      </c>
      <c r="H43" s="388" t="s">
        <v>9</v>
      </c>
      <c r="I43" s="388" t="s">
        <v>20</v>
      </c>
    </row>
    <row r="44" spans="1:9">
      <c r="A44" s="285" t="s">
        <v>470</v>
      </c>
      <c r="B44" s="286" t="s">
        <v>40</v>
      </c>
      <c r="C44" s="285" t="s">
        <v>53</v>
      </c>
      <c r="D44" s="71">
        <f>'3 Finance'!K37</f>
        <v>38715.457900000001</v>
      </c>
      <c r="E44" s="71">
        <f>'3 Finance'!L37</f>
        <v>48472.437299999998</v>
      </c>
      <c r="F44" s="71">
        <f>'3 Finance'!M37</f>
        <v>49722.842517651741</v>
      </c>
      <c r="G44" s="71">
        <f>'3 Finance'!N37</f>
        <v>50013.491609453406</v>
      </c>
      <c r="H44" s="71">
        <f>'3 Finance'!O37</f>
        <v>50296.457340743604</v>
      </c>
      <c r="I44" s="66">
        <f>SUM(D44:H44)</f>
        <v>237220.68666784873</v>
      </c>
    </row>
    <row r="45" spans="1:9">
      <c r="A45" s="221" t="s">
        <v>475</v>
      </c>
      <c r="B45" s="286" t="s">
        <v>40</v>
      </c>
      <c r="C45" s="285" t="s">
        <v>53</v>
      </c>
      <c r="D45" s="71">
        <f>'1 Price control buildup'!J58</f>
        <v>39550</v>
      </c>
      <c r="E45" s="71">
        <f>'1 Price control buildup'!K58</f>
        <v>40049.999999999993</v>
      </c>
      <c r="F45" s="71">
        <f>'1 Price control buildup'!L58</f>
        <v>40249.999999999993</v>
      </c>
      <c r="G45" s="71">
        <f>'1 Price control buildup'!M58</f>
        <v>40300</v>
      </c>
      <c r="H45" s="71">
        <f>'1 Price control buildup'!N58</f>
        <v>40300</v>
      </c>
      <c r="I45" s="66">
        <f>SUM(D45:H45)</f>
        <v>200450</v>
      </c>
    </row>
    <row r="46" spans="1:9">
      <c r="A46" s="221" t="s">
        <v>497</v>
      </c>
      <c r="B46" s="286" t="s">
        <v>40</v>
      </c>
      <c r="C46" s="285" t="s">
        <v>53</v>
      </c>
      <c r="D46" s="71">
        <f>'5A Revenues &amp; Costs (actual)'!K21/D76</f>
        <v>30.318232044198904</v>
      </c>
      <c r="E46" s="71">
        <f>'5A Revenues &amp; Costs (actual)'!L21/E76</f>
        <v>30.318232044198901</v>
      </c>
      <c r="F46" s="71">
        <f>'5A Revenues &amp; Costs (actual)'!M21/F76</f>
        <v>30.318232044198904</v>
      </c>
      <c r="G46" s="71">
        <f>'5A Revenues &amp; Costs (actual)'!N21/G76</f>
        <v>30.318232044198904</v>
      </c>
      <c r="H46" s="71">
        <f>'5A Revenues &amp; Costs (actual)'!O21/H76</f>
        <v>30.318232044198908</v>
      </c>
      <c r="I46" s="66">
        <f>SUM(D46:H46)</f>
        <v>151.59116022099454</v>
      </c>
    </row>
    <row r="48" spans="1:9">
      <c r="A48" s="1" t="s">
        <v>545</v>
      </c>
      <c r="B48" s="389" t="s">
        <v>10</v>
      </c>
      <c r="C48" s="389" t="s">
        <v>11</v>
      </c>
      <c r="D48" s="388" t="s">
        <v>5</v>
      </c>
      <c r="E48" s="388" t="s">
        <v>6</v>
      </c>
      <c r="F48" s="388" t="s">
        <v>7</v>
      </c>
      <c r="G48" s="388" t="s">
        <v>8</v>
      </c>
      <c r="H48" s="388" t="s">
        <v>9</v>
      </c>
      <c r="I48" s="388" t="s">
        <v>20</v>
      </c>
    </row>
    <row r="49" spans="1:9">
      <c r="A49" s="286" t="s">
        <v>498</v>
      </c>
      <c r="B49" s="286" t="s">
        <v>40</v>
      </c>
      <c r="C49" s="286" t="s">
        <v>53</v>
      </c>
      <c r="D49" s="325">
        <f>'5A Revenues &amp; Costs (actual)'!K19/D76</f>
        <v>808.48618784530402</v>
      </c>
      <c r="E49" s="325">
        <f>'5A Revenues &amp; Costs (actual)'!L19/E76</f>
        <v>808.48618784530402</v>
      </c>
      <c r="F49" s="325">
        <f>'5A Revenues &amp; Costs (actual)'!M19/F76</f>
        <v>808.48618784530402</v>
      </c>
      <c r="G49" s="325">
        <f>'5A Revenues &amp; Costs (actual)'!N19/G76</f>
        <v>808.48618784530402</v>
      </c>
      <c r="H49" s="325">
        <f>'5A Revenues &amp; Costs (actual)'!O19/H76</f>
        <v>808.48618784530402</v>
      </c>
      <c r="I49" s="249">
        <f>SUM(D49:H49)</f>
        <v>4042.43093922652</v>
      </c>
    </row>
    <row r="50" spans="1:9">
      <c r="A50" s="267" t="s">
        <v>588</v>
      </c>
      <c r="B50" s="286" t="s">
        <v>40</v>
      </c>
      <c r="C50" s="286" t="s">
        <v>53</v>
      </c>
      <c r="D50" s="325">
        <v>0</v>
      </c>
      <c r="E50" s="325">
        <v>0</v>
      </c>
      <c r="F50" s="325">
        <v>100</v>
      </c>
      <c r="G50" s="325">
        <v>100</v>
      </c>
      <c r="H50" s="325">
        <v>100</v>
      </c>
      <c r="I50" s="249">
        <f>SUM(D50:H50)</f>
        <v>300</v>
      </c>
    </row>
    <row r="51" spans="1:9">
      <c r="A51" s="285" t="s">
        <v>478</v>
      </c>
      <c r="B51" s="286" t="s">
        <v>40</v>
      </c>
      <c r="C51" s="285" t="s">
        <v>53</v>
      </c>
      <c r="D51" s="71">
        <f>'5A Revenues &amp; Costs (actual)'!K21/D76</f>
        <v>30.318232044198904</v>
      </c>
      <c r="E51" s="71">
        <f>'5A Revenues &amp; Costs (actual)'!L21/E76</f>
        <v>30.318232044198901</v>
      </c>
      <c r="F51" s="71">
        <f>'5A Revenues &amp; Costs (actual)'!M21/F76</f>
        <v>30.318232044198904</v>
      </c>
      <c r="G51" s="71">
        <f>'5A Revenues &amp; Costs (actual)'!N21/G76</f>
        <v>30.318232044198904</v>
      </c>
      <c r="H51" s="71">
        <f>'5A Revenues &amp; Costs (actual)'!O21/H76</f>
        <v>30.318232044198908</v>
      </c>
      <c r="I51" s="66">
        <f>SUM(D51:H51)</f>
        <v>151.59116022099454</v>
      </c>
    </row>
    <row r="52" spans="1:9">
      <c r="A52" s="285" t="s">
        <v>660</v>
      </c>
      <c r="B52" s="286" t="s">
        <v>40</v>
      </c>
      <c r="C52" s="285" t="s">
        <v>53</v>
      </c>
      <c r="D52" s="71">
        <f>-'5A Revenues &amp; Costs (actual)'!K33/D76</f>
        <v>5378.4543646408856</v>
      </c>
      <c r="E52" s="71">
        <f>-'5A Revenues &amp; Costs (actual)'!L33/E76</f>
        <v>5378.4543646408847</v>
      </c>
      <c r="F52" s="71">
        <f>-'5A Revenues &amp; Costs (actual)'!M33/F76</f>
        <v>5378.4543646408847</v>
      </c>
      <c r="G52" s="71">
        <f>-'5A Revenues &amp; Costs (actual)'!N33/G76</f>
        <v>5378.4543646408847</v>
      </c>
      <c r="H52" s="71">
        <f>-'5A Revenues &amp; Costs (actual)'!O33/H76</f>
        <v>5378.4543646408856</v>
      </c>
      <c r="I52" s="66">
        <f>SUM(D52:H52)</f>
        <v>26892.271823204428</v>
      </c>
    </row>
    <row r="54" spans="1:9">
      <c r="A54" s="1" t="s">
        <v>547</v>
      </c>
      <c r="B54" s="389" t="s">
        <v>10</v>
      </c>
      <c r="C54" s="389" t="s">
        <v>11</v>
      </c>
      <c r="D54" s="388" t="s">
        <v>5</v>
      </c>
      <c r="E54" s="388" t="s">
        <v>6</v>
      </c>
      <c r="F54" s="388" t="s">
        <v>7</v>
      </c>
      <c r="G54" s="388" t="s">
        <v>8</v>
      </c>
      <c r="H54" s="388" t="s">
        <v>9</v>
      </c>
      <c r="I54" s="388" t="s">
        <v>20</v>
      </c>
    </row>
    <row r="55" spans="1:9">
      <c r="A55" s="232" t="s">
        <v>554</v>
      </c>
      <c r="B55" s="286" t="s">
        <v>40</v>
      </c>
      <c r="C55" s="286" t="s">
        <v>53</v>
      </c>
      <c r="D55" s="325">
        <f>-('5A Revenues &amp; Costs (actual)'!K32+'5A Revenues &amp; Costs (actual)'!K52)/D76</f>
        <v>480.30111304589832</v>
      </c>
      <c r="E55" s="325">
        <f>-('5A Revenues &amp; Costs (actual)'!L32+'5A Revenues &amp; Costs (actual)'!L52)/E76</f>
        <v>480.30111304589832</v>
      </c>
      <c r="F55" s="325">
        <f>-('5A Revenues &amp; Costs (actual)'!M32+'5A Revenues &amp; Costs (actual)'!M52)/F76</f>
        <v>480.30111304589832</v>
      </c>
      <c r="G55" s="325">
        <f>-('5A Revenues &amp; Costs (actual)'!N32+'5A Revenues &amp; Costs (actual)'!N52)/G76</f>
        <v>480.30111304589826</v>
      </c>
      <c r="H55" s="325">
        <f>-('5A Revenues &amp; Costs (actual)'!O32+'5A Revenues &amp; Costs (actual)'!O52)/H76</f>
        <v>480.30111304589838</v>
      </c>
      <c r="I55" s="249">
        <f>SUM(D55:H55)</f>
        <v>2401.5055652294918</v>
      </c>
    </row>
    <row r="56" spans="1:9">
      <c r="A56" s="221" t="s">
        <v>476</v>
      </c>
      <c r="B56" s="286" t="s">
        <v>40</v>
      </c>
      <c r="C56" s="285" t="s">
        <v>53</v>
      </c>
      <c r="D56" s="71">
        <f>-'5A Revenues &amp; Costs (actual)'!K33/D76</f>
        <v>5378.4543646408856</v>
      </c>
      <c r="E56" s="71">
        <f>-'5A Revenues &amp; Costs (actual)'!L33/E76</f>
        <v>5378.4543646408847</v>
      </c>
      <c r="F56" s="71">
        <f>-'5A Revenues &amp; Costs (actual)'!M33/F76</f>
        <v>5378.4543646408847</v>
      </c>
      <c r="G56" s="71">
        <f>-'5A Revenues &amp; Costs (actual)'!N33/G76</f>
        <v>5378.4543646408847</v>
      </c>
      <c r="H56" s="71">
        <f>-'5A Revenues &amp; Costs (actual)'!O33/H76</f>
        <v>5378.4543646408856</v>
      </c>
      <c r="I56" s="66">
        <f>SUM(D56:H56)</f>
        <v>26892.271823204428</v>
      </c>
    </row>
    <row r="58" spans="1:9">
      <c r="A58" s="1" t="s">
        <v>548</v>
      </c>
      <c r="B58" s="389" t="s">
        <v>10</v>
      </c>
      <c r="C58" s="389" t="s">
        <v>11</v>
      </c>
      <c r="D58" s="388" t="s">
        <v>5</v>
      </c>
      <c r="E58" s="388" t="s">
        <v>6</v>
      </c>
      <c r="F58" s="388" t="s">
        <v>7</v>
      </c>
      <c r="G58" s="388" t="s">
        <v>8</v>
      </c>
      <c r="H58" s="388" t="s">
        <v>9</v>
      </c>
      <c r="I58" s="388" t="s">
        <v>20</v>
      </c>
    </row>
    <row r="59" spans="1:9">
      <c r="A59" s="232" t="s">
        <v>475</v>
      </c>
      <c r="B59" s="286" t="s">
        <v>40</v>
      </c>
      <c r="C59" s="286" t="s">
        <v>53</v>
      </c>
      <c r="D59" s="249">
        <f>'1 Price control buildup'!J58</f>
        <v>39550</v>
      </c>
      <c r="E59" s="249">
        <f>'1 Price control buildup'!K58</f>
        <v>40049.999999999993</v>
      </c>
      <c r="F59" s="249">
        <f>'1 Price control buildup'!L58</f>
        <v>40249.999999999993</v>
      </c>
      <c r="G59" s="249">
        <f>'1 Price control buildup'!M58</f>
        <v>40300</v>
      </c>
      <c r="H59" s="249">
        <f>'1 Price control buildup'!N58</f>
        <v>40300</v>
      </c>
      <c r="I59" s="249">
        <f>SUM(D59:H59)</f>
        <v>200450</v>
      </c>
    </row>
    <row r="60" spans="1:9">
      <c r="A60" s="231" t="s">
        <v>470</v>
      </c>
      <c r="B60" s="286" t="s">
        <v>40</v>
      </c>
      <c r="C60" s="285" t="s">
        <v>53</v>
      </c>
      <c r="D60" s="66">
        <f>'3 Finance'!K37</f>
        <v>38715.457900000001</v>
      </c>
      <c r="E60" s="66">
        <f>'3 Finance'!L37</f>
        <v>48472.437299999998</v>
      </c>
      <c r="F60" s="66">
        <f>'3 Finance'!M37</f>
        <v>49722.842517651741</v>
      </c>
      <c r="G60" s="66">
        <f>'3 Finance'!N37</f>
        <v>50013.491609453406</v>
      </c>
      <c r="H60" s="66">
        <f>'3 Finance'!O37</f>
        <v>50296.457340743604</v>
      </c>
      <c r="I60" s="66">
        <f>SUM(D60:H60)</f>
        <v>237220.68666784873</v>
      </c>
    </row>
    <row r="61" spans="1:9">
      <c r="A61" s="231" t="s">
        <v>657</v>
      </c>
      <c r="B61" s="286" t="s">
        <v>40</v>
      </c>
      <c r="C61" s="285" t="s">
        <v>53</v>
      </c>
      <c r="D61" s="66">
        <f>'3 Finance'!K38</f>
        <v>50062.5</v>
      </c>
      <c r="E61" s="66">
        <f>'3 Finance'!L38</f>
        <v>50062.5</v>
      </c>
      <c r="F61" s="66">
        <f>'3 Finance'!M38</f>
        <v>50062.5</v>
      </c>
      <c r="G61" s="66">
        <f>'3 Finance'!N38</f>
        <v>50062.5</v>
      </c>
      <c r="H61" s="66">
        <f>'3 Finance'!O38</f>
        <v>50062.5</v>
      </c>
      <c r="I61" s="66">
        <f>SUM(D61:H61)</f>
        <v>250312.5</v>
      </c>
    </row>
    <row r="62" spans="1:9">
      <c r="A62" s="186" t="s">
        <v>20</v>
      </c>
      <c r="B62" s="286" t="s">
        <v>40</v>
      </c>
      <c r="C62" s="285" t="s">
        <v>53</v>
      </c>
      <c r="D62" s="295">
        <f>D59+D60+D61</f>
        <v>128327.95790000001</v>
      </c>
      <c r="E62" s="295">
        <f t="shared" ref="E62:H62" si="7">E59+E60+E61</f>
        <v>138584.93729999999</v>
      </c>
      <c r="F62" s="295">
        <f t="shared" si="7"/>
        <v>140035.34251765173</v>
      </c>
      <c r="G62" s="295">
        <f t="shared" si="7"/>
        <v>140375.9916094534</v>
      </c>
      <c r="H62" s="295">
        <f t="shared" si="7"/>
        <v>140658.9573407436</v>
      </c>
      <c r="I62" s="248">
        <f>SUM(D62:H62)</f>
        <v>687983.18666784884</v>
      </c>
    </row>
    <row r="64" spans="1:9" ht="18">
      <c r="A64" s="256" t="s">
        <v>503</v>
      </c>
    </row>
    <row r="65" spans="1:9">
      <c r="B65" s="394"/>
      <c r="C65" s="395"/>
      <c r="D65" s="388" t="s">
        <v>5</v>
      </c>
      <c r="E65" s="388" t="s">
        <v>6</v>
      </c>
      <c r="F65" s="388" t="s">
        <v>7</v>
      </c>
      <c r="G65" s="388" t="s">
        <v>8</v>
      </c>
      <c r="H65" s="388" t="s">
        <v>9</v>
      </c>
      <c r="I65" s="388" t="s">
        <v>20</v>
      </c>
    </row>
    <row r="66" spans="1:9">
      <c r="A66" s="285" t="s">
        <v>504</v>
      </c>
      <c r="B66" s="286" t="s">
        <v>40</v>
      </c>
      <c r="C66" s="285" t="s">
        <v>53</v>
      </c>
      <c r="D66" s="66">
        <v>0</v>
      </c>
      <c r="E66" s="66">
        <v>0</v>
      </c>
      <c r="F66" s="66">
        <v>0</v>
      </c>
      <c r="G66" s="66">
        <v>0</v>
      </c>
      <c r="H66" s="66">
        <v>0</v>
      </c>
      <c r="I66" s="66">
        <f t="shared" ref="I66" si="8">SUM(D66:H66)</f>
        <v>0</v>
      </c>
    </row>
    <row r="68" spans="1:9" ht="18">
      <c r="A68" s="256" t="s">
        <v>505</v>
      </c>
    </row>
    <row r="69" spans="1:9">
      <c r="B69" s="390"/>
      <c r="C69" s="390"/>
      <c r="D69" s="388" t="s">
        <v>5</v>
      </c>
      <c r="E69" s="388" t="s">
        <v>6</v>
      </c>
      <c r="F69" s="388" t="s">
        <v>7</v>
      </c>
      <c r="G69" s="388" t="s">
        <v>8</v>
      </c>
      <c r="H69" s="388" t="s">
        <v>9</v>
      </c>
      <c r="I69" s="388" t="s">
        <v>20</v>
      </c>
    </row>
    <row r="70" spans="1:9">
      <c r="A70" s="285" t="s">
        <v>506</v>
      </c>
      <c r="B70" s="286" t="s">
        <v>40</v>
      </c>
      <c r="C70" s="285" t="s">
        <v>53</v>
      </c>
      <c r="D70" s="66">
        <v>0</v>
      </c>
      <c r="E70" s="66">
        <v>0</v>
      </c>
      <c r="F70" s="66">
        <v>0</v>
      </c>
      <c r="G70" s="66">
        <v>0</v>
      </c>
      <c r="H70" s="66">
        <v>0</v>
      </c>
      <c r="I70" s="66">
        <f t="shared" ref="I70" si="9">SUM(D70:H70)</f>
        <v>0</v>
      </c>
    </row>
    <row r="74" spans="1:9">
      <c r="C74" s="260"/>
      <c r="D74" s="250">
        <v>1</v>
      </c>
      <c r="E74" s="250">
        <v>2</v>
      </c>
      <c r="F74" s="250">
        <v>3</v>
      </c>
      <c r="G74" s="250">
        <v>4</v>
      </c>
      <c r="H74" s="250">
        <v>5</v>
      </c>
    </row>
    <row r="75" spans="1:9" ht="18">
      <c r="A75" s="256" t="s">
        <v>252</v>
      </c>
      <c r="B75" s="257"/>
      <c r="C75" s="390"/>
      <c r="D75" s="396" t="s">
        <v>5</v>
      </c>
      <c r="E75" s="396" t="s">
        <v>6</v>
      </c>
      <c r="F75" s="396" t="s">
        <v>7</v>
      </c>
      <c r="G75" s="396" t="s">
        <v>8</v>
      </c>
      <c r="H75" s="396" t="s">
        <v>9</v>
      </c>
    </row>
    <row r="76" spans="1:9">
      <c r="A76" s="285" t="s">
        <v>258</v>
      </c>
      <c r="D76" s="4">
        <f>(Inflation!$I$3/Inflation!$H$3)*(1+Inflation!$C$14)^D74</f>
        <v>1.0294795539033457</v>
      </c>
      <c r="E76" s="4">
        <f>(Inflation!$I$3/Inflation!$H$3)*(1+Inflation!$C$14)^E74</f>
        <v>1.0500691449814126</v>
      </c>
      <c r="F76" s="4">
        <f>(Inflation!$I$3/Inflation!$H$3)*(1+Inflation!$C$14)^F74</f>
        <v>1.0710705278810408</v>
      </c>
      <c r="G76" s="4">
        <f>(Inflation!$I$3/Inflation!$H$3)*(1+Inflation!$C$14)^G74</f>
        <v>1.0924919384386618</v>
      </c>
      <c r="H76" s="4">
        <f>(Inflation!$I$3/Inflation!$H$3)*(1+Inflation!$C$14)^H74</f>
        <v>1.1143417772074349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vt:i4>
      </vt:variant>
    </vt:vector>
  </HeadingPairs>
  <TitlesOfParts>
    <vt:vector size="39" baseType="lpstr">
      <vt:lpstr>Cover</vt:lpstr>
      <vt:lpstr>Change log</vt:lpstr>
      <vt:lpstr>Index</vt:lpstr>
      <vt:lpstr>Main inputs&gt;&gt;</vt:lpstr>
      <vt:lpstr>Inflation</vt:lpstr>
      <vt:lpstr>RAB inputs</vt:lpstr>
      <vt:lpstr>WACC parameters</vt:lpstr>
      <vt:lpstr>FD allowances</vt:lpstr>
      <vt:lpstr>FD forecasts</vt:lpstr>
      <vt:lpstr>RoRE inputs</vt:lpstr>
      <vt:lpstr>Other inputs</vt:lpstr>
      <vt:lpstr>Calcs &gt;&gt;</vt:lpstr>
      <vt:lpstr>WACC</vt:lpstr>
      <vt:lpstr>RAB</vt:lpstr>
      <vt:lpstr>Return</vt:lpstr>
      <vt:lpstr>Asset beta</vt:lpstr>
      <vt:lpstr>Results&gt;&gt;</vt:lpstr>
      <vt:lpstr>Regulated revenue</vt:lpstr>
      <vt:lpstr>Earnings</vt:lpstr>
      <vt:lpstr>RAB summary</vt:lpstr>
      <vt:lpstr>RoRE</vt:lpstr>
      <vt:lpstr>Charts&gt;&gt;</vt:lpstr>
      <vt:lpstr>RoRE chart</vt:lpstr>
      <vt:lpstr>RAB charts</vt:lpstr>
      <vt:lpstr>RoRE scenarios&gt;&gt;</vt:lpstr>
      <vt:lpstr>Scenarios</vt:lpstr>
      <vt:lpstr>Other inputs&gt;&gt;</vt:lpstr>
      <vt:lpstr>5B Revenues &amp; Costs (notional)</vt:lpstr>
      <vt:lpstr>5A Revenues &amp; Costs (actual)</vt:lpstr>
      <vt:lpstr>SONI BPDT RAB</vt:lpstr>
      <vt:lpstr>1 Price control buildup</vt:lpstr>
      <vt:lpstr>3 Finance</vt:lpstr>
      <vt:lpstr>4 RAB Overview</vt:lpstr>
      <vt:lpstr>'1 Price control buildup'!Print_Area</vt:lpstr>
      <vt:lpstr>'4 RAB Overview'!Print_Area</vt:lpstr>
      <vt:lpstr>'5A Revenues &amp; Costs (actual)'!Print_Area</vt:lpstr>
      <vt:lpstr>'5B Revenues &amp; Costs (notional)'!Print_Area</vt:lpstr>
      <vt:lpstr>'5A Revenues &amp; Costs (actual)'!Print_Titles</vt:lpstr>
      <vt:lpstr>'5B Revenues &amp; Costs (notional)'!Print_Titles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2020-06-15T16:37:25Z</dcterms:created>
  <dcterms:modified xsi:type="dcterms:W3CDTF">2020-12-21T14:35:17Z</dcterms:modified>
</cp:coreProperties>
</file>